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firstSheet="13" activeTab="19"/>
  </bookViews>
  <sheets>
    <sheet name="Önkormányzat" sheetId="36" r:id="rId1"/>
    <sheet name="Óvoda" sheetId="49" r:id="rId2"/>
    <sheet name="1.1 Összesítő" sheetId="8" r:id="rId3"/>
    <sheet name="1.1.1 Kötelező feladatok" sheetId="47" r:id="rId4"/>
    <sheet name="1.1.2 Önként váll feladatok" sheetId="46" r:id="rId5"/>
    <sheet name="2.1 Működési mérleg" sheetId="9" r:id="rId6"/>
    <sheet name="2.2 Felhalmozási mérleg  " sheetId="10" r:id="rId7"/>
    <sheet name="3. Adósság   " sheetId="11" r:id="rId8"/>
    <sheet name="4. Saját bevétel" sheetId="12" r:id="rId9"/>
    <sheet name="5. Beruhzások " sheetId="19" r:id="rId10"/>
    <sheet name="6. Felújítások" sheetId="14" r:id="rId11"/>
    <sheet name="7.1 Önkormányzat" sheetId="50" r:id="rId12"/>
    <sheet name="7.1.1 Önkormányzat (KÖT)" sheetId="55" r:id="rId13"/>
    <sheet name="7.1.2 Önkormányzat (ÖNK)" sheetId="54" r:id="rId14"/>
    <sheet name="7.2 Óvoda" sheetId="52" r:id="rId15"/>
    <sheet name="7.2.1. Óvoda (KÖT)" sheetId="53" r:id="rId16"/>
    <sheet name="8. Tartalék" sheetId="17" r:id="rId17"/>
    <sheet name="9. Tartozás állomány" sheetId="20" r:id="rId18"/>
    <sheet name="10. Előirányzat felhasználás" sheetId="26" r:id="rId19"/>
    <sheet name="1.sz tájékoztató t." sheetId="35" r:id="rId20"/>
    <sheet name="2.sz. tájékoztató t." sheetId="22" r:id="rId21"/>
    <sheet name="3. sz tájékoztató t" sheetId="18" r:id="rId22"/>
    <sheet name="4. sz tájékoztató t." sheetId="27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fgl1" localSheetId="12">[1]flag_1!#REF!</definedName>
    <definedName name="____fgl1" localSheetId="13">[1]flag_1!#REF!</definedName>
    <definedName name="____fgl1" localSheetId="15">[1]flag_1!#REF!</definedName>
    <definedName name="____fgl1">[1]flag_1!#REF!</definedName>
    <definedName name="____KSZ1" localSheetId="12">[1]flag_1!#REF!</definedName>
    <definedName name="____KSZ1" localSheetId="13">[1]flag_1!#REF!</definedName>
    <definedName name="____KSZ1" localSheetId="15">[1]flag_1!#REF!</definedName>
    <definedName name="____KSZ1">[1]flag_1!#REF!</definedName>
    <definedName name="____ksz11" localSheetId="12">[1]flag_1!#REF!</definedName>
    <definedName name="____ksz11" localSheetId="13">[1]flag_1!#REF!</definedName>
    <definedName name="____ksz11" localSheetId="15">[1]flag_1!#REF!</definedName>
    <definedName name="____ksz11">[1]flag_1!#REF!</definedName>
    <definedName name="___fgl1" localSheetId="3">[1]flag_1!#REF!</definedName>
    <definedName name="___fgl1" localSheetId="4">[1]flag_1!#REF!</definedName>
    <definedName name="___fgl1" localSheetId="19">[2]flag_1!#REF!</definedName>
    <definedName name="___fgl1" localSheetId="12">[1]flag_1!#REF!</definedName>
    <definedName name="___fgl1" localSheetId="13">[1]flag_1!#REF!</definedName>
    <definedName name="___fgl1" localSheetId="14">[1]flag_1!#REF!</definedName>
    <definedName name="___fgl1" localSheetId="15">[1]flag_1!#REF!</definedName>
    <definedName name="___fgl1">[1]flag_1!#REF!</definedName>
    <definedName name="___KSZ1" localSheetId="3">[1]flag_1!#REF!</definedName>
    <definedName name="___KSZ1" localSheetId="4">[1]flag_1!#REF!</definedName>
    <definedName name="___KSZ1" localSheetId="19">[2]flag_1!#REF!</definedName>
    <definedName name="___KSZ1" localSheetId="12">[1]flag_1!#REF!</definedName>
    <definedName name="___KSZ1" localSheetId="13">[1]flag_1!#REF!</definedName>
    <definedName name="___KSZ1" localSheetId="15">[1]flag_1!#REF!</definedName>
    <definedName name="___KSZ1">[1]flag_1!#REF!</definedName>
    <definedName name="___ksz11" localSheetId="3">[1]flag_1!#REF!</definedName>
    <definedName name="___ksz11" localSheetId="4">[1]flag_1!#REF!</definedName>
    <definedName name="___ksz11" localSheetId="19">[2]flag_1!#REF!</definedName>
    <definedName name="___ksz11" localSheetId="12">[1]flag_1!#REF!</definedName>
    <definedName name="___ksz11" localSheetId="13">[1]flag_1!#REF!</definedName>
    <definedName name="___ksz11" localSheetId="15">[1]flag_1!#REF!</definedName>
    <definedName name="___ksz11">[1]flag_1!#REF!</definedName>
    <definedName name="__fgl1" localSheetId="2">[1]flag_1!#REF!</definedName>
    <definedName name="__fgl1" localSheetId="3">[1]flag_1!#REF!</definedName>
    <definedName name="__fgl1" localSheetId="4">[1]flag_1!#REF!</definedName>
    <definedName name="__fgl1" localSheetId="19">[1]flag_1!#REF!</definedName>
    <definedName name="__fgl1" localSheetId="11">[1]flag_1!#REF!</definedName>
    <definedName name="__fgl1" localSheetId="12">[1]flag_1!#REF!</definedName>
    <definedName name="__fgl1" localSheetId="13">[1]flag_1!#REF!</definedName>
    <definedName name="__fgl1" localSheetId="15">[1]flag_1!#REF!</definedName>
    <definedName name="__fgl1">[1]flag_1!#REF!</definedName>
    <definedName name="__KSZ1" localSheetId="2">[1]flag_1!#REF!</definedName>
    <definedName name="__KSZ1" localSheetId="3">[1]flag_1!#REF!</definedName>
    <definedName name="__KSZ1" localSheetId="4">[1]flag_1!#REF!</definedName>
    <definedName name="__KSZ1" localSheetId="19">[1]flag_1!#REF!</definedName>
    <definedName name="__KSZ1" localSheetId="11">[1]flag_1!#REF!</definedName>
    <definedName name="__KSZ1" localSheetId="12">[1]flag_1!#REF!</definedName>
    <definedName name="__KSZ1" localSheetId="13">[1]flag_1!#REF!</definedName>
    <definedName name="__KSZ1" localSheetId="15">[1]flag_1!#REF!</definedName>
    <definedName name="__KSZ1">[1]flag_1!#REF!</definedName>
    <definedName name="__ksz11" localSheetId="2">[1]flag_1!#REF!</definedName>
    <definedName name="__ksz11" localSheetId="3">[1]flag_1!#REF!</definedName>
    <definedName name="__ksz11" localSheetId="4">[1]flag_1!#REF!</definedName>
    <definedName name="__ksz11" localSheetId="19">[1]flag_1!#REF!</definedName>
    <definedName name="__ksz11" localSheetId="11">[1]flag_1!#REF!</definedName>
    <definedName name="__ksz11" localSheetId="12">[1]flag_1!#REF!</definedName>
    <definedName name="__ksz11" localSheetId="13">[1]flag_1!#REF!</definedName>
    <definedName name="__ksz11" localSheetId="15">[1]flag_1!#REF!</definedName>
    <definedName name="__ksz11">[1]flag_1!#REF!</definedName>
    <definedName name="_fgl1" localSheetId="2">[1]flag_1!#REF!</definedName>
    <definedName name="_fgl1" localSheetId="3">[1]flag_1!#REF!</definedName>
    <definedName name="_fgl1" localSheetId="4">[1]flag_1!#REF!</definedName>
    <definedName name="_fgl1" localSheetId="19">[1]flag_1!#REF!</definedName>
    <definedName name="_fgl1" localSheetId="18">[2]flag_1!#REF!</definedName>
    <definedName name="_fgl1" localSheetId="20">[3]flag_1!#REF!</definedName>
    <definedName name="_fgl1" localSheetId="21">[3]flag_1!#REF!</definedName>
    <definedName name="_fgl1" localSheetId="22">[2]flag_1!#REF!</definedName>
    <definedName name="_fgl1" localSheetId="9">[1]flag_1!#REF!</definedName>
    <definedName name="_fgl1" localSheetId="11">[1]flag_1!#REF!</definedName>
    <definedName name="_fgl1" localSheetId="12">[1]flag_1!#REF!</definedName>
    <definedName name="_fgl1" localSheetId="13">[1]flag_1!#REF!</definedName>
    <definedName name="_fgl1" localSheetId="15">[1]flag_1!#REF!</definedName>
    <definedName name="_fgl1" localSheetId="17">[3]flag_1!#REF!</definedName>
    <definedName name="_fgl1">[1]flag_1!#REF!</definedName>
    <definedName name="_KSZ1" localSheetId="2">[1]flag_1!#REF!</definedName>
    <definedName name="_KSZ1" localSheetId="3">[1]flag_1!#REF!</definedName>
    <definedName name="_KSZ1" localSheetId="4">[1]flag_1!#REF!</definedName>
    <definedName name="_KSZ1" localSheetId="19">[1]flag_1!#REF!</definedName>
    <definedName name="_KSZ1" localSheetId="18">[2]flag_1!#REF!</definedName>
    <definedName name="_KSZ1" localSheetId="20">[3]flag_1!#REF!</definedName>
    <definedName name="_KSZ1" localSheetId="21">[3]flag_1!#REF!</definedName>
    <definedName name="_KSZ1" localSheetId="22">[2]flag_1!#REF!</definedName>
    <definedName name="_KSZ1" localSheetId="9">[1]flag_1!#REF!</definedName>
    <definedName name="_KSZ1" localSheetId="11">[1]flag_1!#REF!</definedName>
    <definedName name="_KSZ1" localSheetId="12">[1]flag_1!#REF!</definedName>
    <definedName name="_KSZ1" localSheetId="13">[1]flag_1!#REF!</definedName>
    <definedName name="_KSZ1" localSheetId="15">[1]flag_1!#REF!</definedName>
    <definedName name="_KSZ1" localSheetId="17">[3]flag_1!#REF!</definedName>
    <definedName name="_KSZ1">[1]flag_1!#REF!</definedName>
    <definedName name="_ksz11" localSheetId="2">[1]flag_1!#REF!</definedName>
    <definedName name="_ksz11" localSheetId="3">[1]flag_1!#REF!</definedName>
    <definedName name="_ksz11" localSheetId="4">[1]flag_1!#REF!</definedName>
    <definedName name="_ksz11" localSheetId="19">[1]flag_1!#REF!</definedName>
    <definedName name="_ksz11" localSheetId="18">[2]flag_1!#REF!</definedName>
    <definedName name="_ksz11" localSheetId="20">[3]flag_1!#REF!</definedName>
    <definedName name="_ksz11" localSheetId="21">[3]flag_1!#REF!</definedName>
    <definedName name="_ksz11" localSheetId="22">[2]flag_1!#REF!</definedName>
    <definedName name="_ksz11" localSheetId="9">[1]flag_1!#REF!</definedName>
    <definedName name="_ksz11" localSheetId="11">[1]flag_1!#REF!</definedName>
    <definedName name="_ksz11" localSheetId="12">[1]flag_1!#REF!</definedName>
    <definedName name="_ksz11" localSheetId="13">[1]flag_1!#REF!</definedName>
    <definedName name="_ksz11" localSheetId="15">[1]flag_1!#REF!</definedName>
    <definedName name="_ksz11" localSheetId="17">[3]flag_1!#REF!</definedName>
    <definedName name="_ksz11">[1]flag_1!#REF!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19">#REF!</definedName>
    <definedName name="_xlnm.Database" localSheetId="18">#REF!</definedName>
    <definedName name="_xlnm.Database" localSheetId="5">#REF!</definedName>
    <definedName name="_xlnm.Database" localSheetId="6">#REF!</definedName>
    <definedName name="_xlnm.Database" localSheetId="20">#REF!</definedName>
    <definedName name="_xlnm.Database" localSheetId="7">#REF!</definedName>
    <definedName name="_xlnm.Database" localSheetId="21">#REF!</definedName>
    <definedName name="_xlnm.Database" localSheetId="8">#REF!</definedName>
    <definedName name="_xlnm.Database" localSheetId="22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>#REF!</definedName>
    <definedName name="Adatbázis1" localSheetId="3">#REF!</definedName>
    <definedName name="Adatbázis1" localSheetId="4">#REF!</definedName>
    <definedName name="Adatbázis1" localSheetId="19">#REF!</definedName>
    <definedName name="Adatbázis1" localSheetId="12">#REF!</definedName>
    <definedName name="Adatbázis1" localSheetId="13">#REF!</definedName>
    <definedName name="Adatbázis1" localSheetId="14">#REF!</definedName>
    <definedName name="Adatbázis1" localSheetId="15">#REF!</definedName>
    <definedName name="Adatbázis1">#REF!</definedName>
    <definedName name="anita" localSheetId="3">#REF!</definedName>
    <definedName name="anita" localSheetId="4">#REF!</definedName>
    <definedName name="anita" localSheetId="19">#REF!</definedName>
    <definedName name="anita" localSheetId="12">#REF!</definedName>
    <definedName name="anita" localSheetId="13">#REF!</definedName>
    <definedName name="anita" localSheetId="14">#REF!</definedName>
    <definedName name="anita" localSheetId="15">#REF!</definedName>
    <definedName name="anita">#REF!</definedName>
    <definedName name="css" localSheetId="2">#REF!</definedName>
    <definedName name="css" localSheetId="3">#REF!</definedName>
    <definedName name="css" localSheetId="4">#REF!</definedName>
    <definedName name="css" localSheetId="5">#REF!</definedName>
    <definedName name="css" localSheetId="6">#REF!</definedName>
    <definedName name="css" localSheetId="20">#REF!</definedName>
    <definedName name="css" localSheetId="7">#REF!</definedName>
    <definedName name="css" localSheetId="21">#REF!</definedName>
    <definedName name="css" localSheetId="8">#REF!</definedName>
    <definedName name="css" localSheetId="9">#REF!</definedName>
    <definedName name="css" localSheetId="10">#REF!</definedName>
    <definedName name="css" localSheetId="11">#REF!</definedName>
    <definedName name="css" localSheetId="12">#REF!</definedName>
    <definedName name="css" localSheetId="13">#REF!</definedName>
    <definedName name="css" localSheetId="14">#REF!</definedName>
    <definedName name="css" localSheetId="15">#REF!</definedName>
    <definedName name="css" localSheetId="16">#REF!</definedName>
    <definedName name="css" localSheetId="17">#REF!</definedName>
    <definedName name="css">#REF!</definedName>
    <definedName name="css_k" localSheetId="19">[4]Családsegítés!$C$27:$C$86</definedName>
    <definedName name="css_k" localSheetId="18">[4]Családsegítés!$C$27:$C$86</definedName>
    <definedName name="css_k" localSheetId="20">#N/A</definedName>
    <definedName name="css_k" localSheetId="21">#N/A</definedName>
    <definedName name="css_k" localSheetId="22">[4]Családsegítés!$C$27:$C$86</definedName>
    <definedName name="css_k" localSheetId="9">[5]Családsegítés!$C$27:$C$86</definedName>
    <definedName name="css_k" localSheetId="17">#N/A</definedName>
    <definedName name="css_k">[5]Családsegítés!$C$27:$C$86</definedName>
    <definedName name="css_k_" localSheetId="2">#REF!</definedName>
    <definedName name="css_k_" localSheetId="3">#REF!</definedName>
    <definedName name="css_k_" localSheetId="4">#REF!</definedName>
    <definedName name="css_k_" localSheetId="5">#REF!</definedName>
    <definedName name="css_k_" localSheetId="6">#REF!</definedName>
    <definedName name="css_k_" localSheetId="20">#REF!</definedName>
    <definedName name="css_k_" localSheetId="7">#REF!</definedName>
    <definedName name="css_k_" localSheetId="21">#REF!</definedName>
    <definedName name="css_k_" localSheetId="8">#REF!</definedName>
    <definedName name="css_k_" localSheetId="9">#REF!</definedName>
    <definedName name="css_k_" localSheetId="10">#REF!</definedName>
    <definedName name="css_k_" localSheetId="11">#REF!</definedName>
    <definedName name="css_k_" localSheetId="12">#REF!</definedName>
    <definedName name="css_k_" localSheetId="13">#REF!</definedName>
    <definedName name="css_k_" localSheetId="14">#REF!</definedName>
    <definedName name="css_k_" localSheetId="15">#REF!</definedName>
    <definedName name="css_k_" localSheetId="16">#REF!</definedName>
    <definedName name="css_k_" localSheetId="17">#REF!</definedName>
    <definedName name="css_k_">#REF!</definedName>
    <definedName name="FEJ" localSheetId="2">#REF!</definedName>
    <definedName name="FEJ" localSheetId="3">#REF!</definedName>
    <definedName name="FEJ" localSheetId="4">#REF!</definedName>
    <definedName name="FEJ" localSheetId="19">#REF!</definedName>
    <definedName name="FEJ" localSheetId="18">#REF!</definedName>
    <definedName name="FEJ" localSheetId="5">#REF!</definedName>
    <definedName name="FEJ" localSheetId="6">#REF!</definedName>
    <definedName name="FEJ" localSheetId="20">#REF!</definedName>
    <definedName name="FEJ" localSheetId="7">#REF!</definedName>
    <definedName name="FEJ" localSheetId="21">#REF!</definedName>
    <definedName name="FEJ" localSheetId="8">#REF!</definedName>
    <definedName name="FEJ" localSheetId="22">#REF!</definedName>
    <definedName name="FEJ" localSheetId="9">#REF!</definedName>
    <definedName name="FEJ" localSheetId="10">#REF!</definedName>
    <definedName name="FEJ" localSheetId="11">#REF!</definedName>
    <definedName name="FEJ" localSheetId="12">#REF!</definedName>
    <definedName name="FEJ" localSheetId="13">#REF!</definedName>
    <definedName name="FEJ" localSheetId="14">#REF!</definedName>
    <definedName name="FEJ" localSheetId="15">#REF!</definedName>
    <definedName name="FEJ" localSheetId="16">#REF!</definedName>
    <definedName name="FEJ" localSheetId="17">#REF!</definedName>
    <definedName name="FEJ">#REF!</definedName>
    <definedName name="FGL" localSheetId="2">[1]flag_1!#REF!</definedName>
    <definedName name="FGL" localSheetId="3">[1]flag_1!#REF!</definedName>
    <definedName name="FGL" localSheetId="4">[1]flag_1!#REF!</definedName>
    <definedName name="FGL" localSheetId="19">[2]flag_1!#REF!</definedName>
    <definedName name="FGL" localSheetId="18">[2]flag_1!#REF!</definedName>
    <definedName name="FGL" localSheetId="5">[1]flag_1!#REF!</definedName>
    <definedName name="FGL" localSheetId="6">[1]flag_1!#REF!</definedName>
    <definedName name="FGL" localSheetId="20">[3]flag_1!#REF!</definedName>
    <definedName name="FGL" localSheetId="7">[1]flag_1!#REF!</definedName>
    <definedName name="FGL" localSheetId="21">[3]flag_1!#REF!</definedName>
    <definedName name="FGL" localSheetId="8">[1]flag_1!#REF!</definedName>
    <definedName name="FGL" localSheetId="22">[2]flag_1!#REF!</definedName>
    <definedName name="FGL" localSheetId="9">[1]flag_1!#REF!</definedName>
    <definedName name="FGL" localSheetId="10">[1]flag_1!#REF!</definedName>
    <definedName name="FGL" localSheetId="11">[1]flag_1!#REF!</definedName>
    <definedName name="FGL" localSheetId="12">[1]flag_1!#REF!</definedName>
    <definedName name="FGL" localSheetId="13">[1]flag_1!#REF!</definedName>
    <definedName name="FGL" localSheetId="14">[1]flag_1!#REF!</definedName>
    <definedName name="FGL" localSheetId="15">[1]flag_1!#REF!</definedName>
    <definedName name="FGL" localSheetId="16">[1]flag_1!#REF!</definedName>
    <definedName name="FGL" localSheetId="17">[3]flag_1!#REF!</definedName>
    <definedName name="FGL">[1]flag_1!#REF!</definedName>
    <definedName name="FLAG" localSheetId="2">[1]flag_1!#REF!</definedName>
    <definedName name="FLAG" localSheetId="3">[1]flag_1!#REF!</definedName>
    <definedName name="FLAG" localSheetId="4">[1]flag_1!#REF!</definedName>
    <definedName name="FLAG" localSheetId="19">[2]flag_1!#REF!</definedName>
    <definedName name="FLAG" localSheetId="18">[2]flag_1!#REF!</definedName>
    <definedName name="FLAG" localSheetId="5">[1]flag_1!#REF!</definedName>
    <definedName name="FLAG" localSheetId="6">[1]flag_1!#REF!</definedName>
    <definedName name="FLAG" localSheetId="20">[3]flag_1!#REF!</definedName>
    <definedName name="FLAG" localSheetId="7">[1]flag_1!#REF!</definedName>
    <definedName name="FLAG" localSheetId="21">[3]flag_1!#REF!</definedName>
    <definedName name="FLAG" localSheetId="8">[1]flag_1!#REF!</definedName>
    <definedName name="FLAG" localSheetId="22">[2]flag_1!#REF!</definedName>
    <definedName name="FLAG" localSheetId="9">[1]flag_1!#REF!</definedName>
    <definedName name="FLAG" localSheetId="10">[1]flag_1!#REF!</definedName>
    <definedName name="FLAG" localSheetId="11">[1]flag_1!#REF!</definedName>
    <definedName name="FLAG" localSheetId="12">[1]flag_1!#REF!</definedName>
    <definedName name="FLAG" localSheetId="13">[1]flag_1!#REF!</definedName>
    <definedName name="FLAG" localSheetId="14">[1]flag_1!#REF!</definedName>
    <definedName name="FLAG" localSheetId="15">[1]flag_1!#REF!</definedName>
    <definedName name="FLAG" localSheetId="16">[1]flag_1!#REF!</definedName>
    <definedName name="FLAG" localSheetId="17">[3]flag_1!#REF!</definedName>
    <definedName name="FLAG">[1]flag_1!#REF!</definedName>
    <definedName name="flag1" localSheetId="2">[1]flag_1!#REF!</definedName>
    <definedName name="flag1" localSheetId="3">[1]flag_1!#REF!</definedName>
    <definedName name="flag1" localSheetId="4">[1]flag_1!#REF!</definedName>
    <definedName name="flag1" localSheetId="19">[2]flag_1!#REF!</definedName>
    <definedName name="flag1" localSheetId="18">[2]flag_1!#REF!</definedName>
    <definedName name="flag1" localSheetId="5">[1]flag_1!#REF!</definedName>
    <definedName name="flag1" localSheetId="6">[1]flag_1!#REF!</definedName>
    <definedName name="flag1" localSheetId="20">[3]flag_1!#REF!</definedName>
    <definedName name="flag1" localSheetId="7">[1]flag_1!#REF!</definedName>
    <definedName name="flag1" localSheetId="21">[3]flag_1!#REF!</definedName>
    <definedName name="flag1" localSheetId="8">[1]flag_1!#REF!</definedName>
    <definedName name="flag1" localSheetId="22">[2]flag_1!#REF!</definedName>
    <definedName name="flag1" localSheetId="9">[1]flag_1!#REF!</definedName>
    <definedName name="flag1" localSheetId="10">[1]flag_1!#REF!</definedName>
    <definedName name="flag1" localSheetId="11">[1]flag_1!#REF!</definedName>
    <definedName name="flag1" localSheetId="12">[1]flag_1!#REF!</definedName>
    <definedName name="flag1" localSheetId="13">[1]flag_1!#REF!</definedName>
    <definedName name="flag1" localSheetId="14">[1]flag_1!#REF!</definedName>
    <definedName name="flag1" localSheetId="15">[1]flag_1!#REF!</definedName>
    <definedName name="flag1" localSheetId="16">[1]flag_1!#REF!</definedName>
    <definedName name="flag1" localSheetId="17">[3]flag_1!#REF!</definedName>
    <definedName name="flag1">[1]flag_1!#REF!</definedName>
    <definedName name="gyj" localSheetId="2">#REF!</definedName>
    <definedName name="gyj" localSheetId="3">#REF!</definedName>
    <definedName name="gyj" localSheetId="4">#REF!</definedName>
    <definedName name="gyj" localSheetId="5">#REF!</definedName>
    <definedName name="gyj" localSheetId="6">#REF!</definedName>
    <definedName name="gyj" localSheetId="20">#REF!</definedName>
    <definedName name="gyj" localSheetId="7">#REF!</definedName>
    <definedName name="gyj" localSheetId="21">#REF!</definedName>
    <definedName name="gyj" localSheetId="8">#REF!</definedName>
    <definedName name="gyj" localSheetId="9">#REF!</definedName>
    <definedName name="gyj" localSheetId="10">#REF!</definedName>
    <definedName name="gyj" localSheetId="11">#REF!</definedName>
    <definedName name="gyj" localSheetId="12">#REF!</definedName>
    <definedName name="gyj" localSheetId="13">#REF!</definedName>
    <definedName name="gyj" localSheetId="14">#REF!</definedName>
    <definedName name="gyj" localSheetId="15">#REF!</definedName>
    <definedName name="gyj" localSheetId="16">#REF!</definedName>
    <definedName name="gyj" localSheetId="17">#REF!</definedName>
    <definedName name="gyj">#REF!</definedName>
    <definedName name="gyj_k" localSheetId="19">[4]Gyermekjóléti!$C$27:$C$86</definedName>
    <definedName name="gyj_k" localSheetId="18">[4]Gyermekjóléti!$C$27:$C$86</definedName>
    <definedName name="gyj_k" localSheetId="20">#N/A</definedName>
    <definedName name="gyj_k" localSheetId="21">#N/A</definedName>
    <definedName name="gyj_k" localSheetId="22">[4]Gyermekjóléti!$C$27:$C$86</definedName>
    <definedName name="gyj_k" localSheetId="9">[5]Gyermekjóléti!$C$27:$C$86</definedName>
    <definedName name="gyj_k" localSheetId="17">#N/A</definedName>
    <definedName name="gyj_k">[5]Gyermekjóléti!$C$27:$C$86</definedName>
    <definedName name="gyj_k_" localSheetId="2">#REF!</definedName>
    <definedName name="gyj_k_" localSheetId="3">#REF!</definedName>
    <definedName name="gyj_k_" localSheetId="4">#REF!</definedName>
    <definedName name="gyj_k_" localSheetId="5">#REF!</definedName>
    <definedName name="gyj_k_" localSheetId="6">#REF!</definedName>
    <definedName name="gyj_k_" localSheetId="20">#REF!</definedName>
    <definedName name="gyj_k_" localSheetId="7">#REF!</definedName>
    <definedName name="gyj_k_" localSheetId="21">#REF!</definedName>
    <definedName name="gyj_k_" localSheetId="8">#REF!</definedName>
    <definedName name="gyj_k_" localSheetId="9">#REF!</definedName>
    <definedName name="gyj_k_" localSheetId="10">#REF!</definedName>
    <definedName name="gyj_k_" localSheetId="11">#REF!</definedName>
    <definedName name="gyj_k_" localSheetId="12">#REF!</definedName>
    <definedName name="gyj_k_" localSheetId="13">#REF!</definedName>
    <definedName name="gyj_k_" localSheetId="14">#REF!</definedName>
    <definedName name="gyj_k_" localSheetId="15">#REF!</definedName>
    <definedName name="gyj_k_" localSheetId="16">#REF!</definedName>
    <definedName name="gyj_k_" localSheetId="17">#REF!</definedName>
    <definedName name="gyj_k_">#REF!</definedName>
    <definedName name="K_LSZA_BECS_1" localSheetId="2">#REF!</definedName>
    <definedName name="K_LSZA_BECS_1" localSheetId="3">#REF!</definedName>
    <definedName name="K_LSZA_BECS_1" localSheetId="4">#REF!</definedName>
    <definedName name="K_LSZA_BECS_1" localSheetId="19">#REF!</definedName>
    <definedName name="K_LSZA_BECS_1" localSheetId="18">#REF!</definedName>
    <definedName name="K_LSZA_BECS_1" localSheetId="5">#REF!</definedName>
    <definedName name="K_LSZA_BECS_1" localSheetId="6">#REF!</definedName>
    <definedName name="K_LSZA_BECS_1" localSheetId="20">#REF!</definedName>
    <definedName name="K_LSZA_BECS_1" localSheetId="7">#REF!</definedName>
    <definedName name="K_LSZA_BECS_1" localSheetId="21">#REF!</definedName>
    <definedName name="K_LSZA_BECS_1" localSheetId="8">#REF!</definedName>
    <definedName name="K_LSZA_BECS_1" localSheetId="22">#REF!</definedName>
    <definedName name="K_LSZA_BECS_1" localSheetId="9">#REF!</definedName>
    <definedName name="K_LSZA_BECS_1" localSheetId="10">#REF!</definedName>
    <definedName name="K_LSZA_BECS_1" localSheetId="11">#REF!</definedName>
    <definedName name="K_LSZA_BECS_1" localSheetId="12">#REF!</definedName>
    <definedName name="K_LSZA_BECS_1" localSheetId="13">#REF!</definedName>
    <definedName name="K_LSZA_BECS_1" localSheetId="14">#REF!</definedName>
    <definedName name="K_LSZA_BECS_1" localSheetId="15">#REF!</definedName>
    <definedName name="K_LSZA_BECS_1" localSheetId="16">#REF!</definedName>
    <definedName name="K_LSZA_BECS_1" localSheetId="17">#REF!</definedName>
    <definedName name="K_LSZA_BECS_1">#REF!</definedName>
    <definedName name="kjz" localSheetId="2">#REF!</definedName>
    <definedName name="kjz" localSheetId="3">#REF!</definedName>
    <definedName name="kjz" localSheetId="4">#REF!</definedName>
    <definedName name="kjz" localSheetId="5">#REF!</definedName>
    <definedName name="kjz" localSheetId="6">#REF!</definedName>
    <definedName name="kjz" localSheetId="20">#REF!</definedName>
    <definedName name="kjz" localSheetId="7">#REF!</definedName>
    <definedName name="kjz" localSheetId="21">#REF!</definedName>
    <definedName name="kjz" localSheetId="8">#REF!</definedName>
    <definedName name="kjz" localSheetId="9">#REF!</definedName>
    <definedName name="kjz" localSheetId="10">#REF!</definedName>
    <definedName name="kjz" localSheetId="11">#REF!</definedName>
    <definedName name="kjz" localSheetId="12">#REF!</definedName>
    <definedName name="kjz" localSheetId="13">#REF!</definedName>
    <definedName name="kjz" localSheetId="14">#REF!</definedName>
    <definedName name="kjz" localSheetId="15">#REF!</definedName>
    <definedName name="kjz" localSheetId="16">#REF!</definedName>
    <definedName name="kjz" localSheetId="17">#REF!</definedName>
    <definedName name="kjz">#REF!</definedName>
    <definedName name="kjz_k" localSheetId="19">[4]körjegyzőség!$C$9:$C$28</definedName>
    <definedName name="kjz_k" localSheetId="18">[4]körjegyzőség!$C$9:$C$28</definedName>
    <definedName name="kjz_k" localSheetId="20">#N/A</definedName>
    <definedName name="kjz_k" localSheetId="21">#N/A</definedName>
    <definedName name="kjz_k" localSheetId="22">[4]körjegyzőség!$C$9:$C$28</definedName>
    <definedName name="kjz_k" localSheetId="9">[5]körjegyzőség!$C$9:$C$28</definedName>
    <definedName name="kjz_k" localSheetId="17">#N/A</definedName>
    <definedName name="kjz_k">[5]körjegyzőség!$C$9:$C$28</definedName>
    <definedName name="kjz_k_" localSheetId="2">#REF!</definedName>
    <definedName name="kjz_k_" localSheetId="3">#REF!</definedName>
    <definedName name="kjz_k_" localSheetId="4">#REF!</definedName>
    <definedName name="kjz_k_" localSheetId="5">#REF!</definedName>
    <definedName name="kjz_k_" localSheetId="6">#REF!</definedName>
    <definedName name="kjz_k_" localSheetId="20">#REF!</definedName>
    <definedName name="kjz_k_" localSheetId="7">#REF!</definedName>
    <definedName name="kjz_k_" localSheetId="21">#REF!</definedName>
    <definedName name="kjz_k_" localSheetId="8">#REF!</definedName>
    <definedName name="kjz_k_" localSheetId="9">#REF!</definedName>
    <definedName name="kjz_k_" localSheetId="10">#REF!</definedName>
    <definedName name="kjz_k_" localSheetId="11">#REF!</definedName>
    <definedName name="kjz_k_" localSheetId="12">#REF!</definedName>
    <definedName name="kjz_k_" localSheetId="13">#REF!</definedName>
    <definedName name="kjz_k_" localSheetId="14">#REF!</definedName>
    <definedName name="kjz_k_" localSheetId="15">#REF!</definedName>
    <definedName name="kjz_k_" localSheetId="16">#REF!</definedName>
    <definedName name="kjz_k_" localSheetId="17">#REF!</definedName>
    <definedName name="kjz_k_">#REF!</definedName>
    <definedName name="KSH_R" localSheetId="2">#REF!</definedName>
    <definedName name="KSH_R" localSheetId="3">#REF!</definedName>
    <definedName name="KSH_R" localSheetId="4">#REF!</definedName>
    <definedName name="KSH_R" localSheetId="19">#REF!</definedName>
    <definedName name="KSH_R" localSheetId="18">#REF!</definedName>
    <definedName name="KSH_R" localSheetId="5">#REF!</definedName>
    <definedName name="KSH_R" localSheetId="6">#REF!</definedName>
    <definedName name="KSH_R" localSheetId="20">#REF!</definedName>
    <definedName name="KSH_R" localSheetId="7">#REF!</definedName>
    <definedName name="KSH_R" localSheetId="21">#REF!</definedName>
    <definedName name="KSH_R" localSheetId="8">#REF!</definedName>
    <definedName name="KSH_R" localSheetId="22">#REF!</definedName>
    <definedName name="KSH_R" localSheetId="9">#REF!</definedName>
    <definedName name="KSH_R" localSheetId="10">#REF!</definedName>
    <definedName name="KSH_R" localSheetId="11">#REF!</definedName>
    <definedName name="KSH_R" localSheetId="12">#REF!</definedName>
    <definedName name="KSH_R" localSheetId="13">#REF!</definedName>
    <definedName name="KSH_R" localSheetId="14">#REF!</definedName>
    <definedName name="KSH_R" localSheetId="15">#REF!</definedName>
    <definedName name="KSH_R" localSheetId="16">#REF!</definedName>
    <definedName name="KSH_R" localSheetId="17">#REF!</definedName>
    <definedName name="KSH_R">#REF!</definedName>
    <definedName name="nev_c" localSheetId="2">#REF!</definedName>
    <definedName name="nev_c" localSheetId="3">#REF!</definedName>
    <definedName name="nev_c" localSheetId="4">#REF!</definedName>
    <definedName name="nev_c" localSheetId="5">#REF!</definedName>
    <definedName name="nev_c" localSheetId="6">#REF!</definedName>
    <definedName name="nev_c" localSheetId="20">#REF!</definedName>
    <definedName name="nev_c" localSheetId="7">#REF!</definedName>
    <definedName name="nev_c" localSheetId="21">#REF!</definedName>
    <definedName name="nev_c" localSheetId="8">#REF!</definedName>
    <definedName name="nev_c" localSheetId="9">#REF!</definedName>
    <definedName name="nev_c" localSheetId="10">#REF!</definedName>
    <definedName name="nev_c" localSheetId="11">#REF!</definedName>
    <definedName name="nev_c" localSheetId="12">#REF!</definedName>
    <definedName name="nev_c" localSheetId="13">#REF!</definedName>
    <definedName name="nev_c" localSheetId="14">#REF!</definedName>
    <definedName name="nev_c" localSheetId="15">#REF!</definedName>
    <definedName name="nev_c" localSheetId="16">#REF!</definedName>
    <definedName name="nev_c" localSheetId="17">#REF!</definedName>
    <definedName name="nev_c">#REF!</definedName>
    <definedName name="nev_g" localSheetId="2">#REF!</definedName>
    <definedName name="nev_g" localSheetId="3">#REF!</definedName>
    <definedName name="nev_g" localSheetId="4">#REF!</definedName>
    <definedName name="nev_g" localSheetId="5">#REF!</definedName>
    <definedName name="nev_g" localSheetId="6">#REF!</definedName>
    <definedName name="nev_g" localSheetId="20">#REF!</definedName>
    <definedName name="nev_g" localSheetId="7">#REF!</definedName>
    <definedName name="nev_g" localSheetId="21">#REF!</definedName>
    <definedName name="nev_g" localSheetId="8">#REF!</definedName>
    <definedName name="nev_g" localSheetId="9">#REF!</definedName>
    <definedName name="nev_g" localSheetId="10">#REF!</definedName>
    <definedName name="nev_g" localSheetId="11">#REF!</definedName>
    <definedName name="nev_g" localSheetId="12">#REF!</definedName>
    <definedName name="nev_g" localSheetId="13">#REF!</definedName>
    <definedName name="nev_g" localSheetId="14">#REF!</definedName>
    <definedName name="nev_g" localSheetId="15">#REF!</definedName>
    <definedName name="nev_g" localSheetId="16">#REF!</definedName>
    <definedName name="nev_g" localSheetId="17">#REF!</definedName>
    <definedName name="nev_g">#REF!</definedName>
    <definedName name="nev_k" localSheetId="2">#REF!</definedName>
    <definedName name="nev_k" localSheetId="3">#REF!</definedName>
    <definedName name="nev_k" localSheetId="4">#REF!</definedName>
    <definedName name="nev_k" localSheetId="5">#REF!</definedName>
    <definedName name="nev_k" localSheetId="6">#REF!</definedName>
    <definedName name="nev_k" localSheetId="20">#REF!</definedName>
    <definedName name="nev_k" localSheetId="7">#REF!</definedName>
    <definedName name="nev_k" localSheetId="21">#REF!</definedName>
    <definedName name="nev_k" localSheetId="8">#REF!</definedName>
    <definedName name="nev_k" localSheetId="9">#REF!</definedName>
    <definedName name="nev_k" localSheetId="10">#REF!</definedName>
    <definedName name="nev_k" localSheetId="11">#REF!</definedName>
    <definedName name="nev_k" localSheetId="12">#REF!</definedName>
    <definedName name="nev_k" localSheetId="13">#REF!</definedName>
    <definedName name="nev_k" localSheetId="14">#REF!</definedName>
    <definedName name="nev_k" localSheetId="15">#REF!</definedName>
    <definedName name="nev_k" localSheetId="16">#REF!</definedName>
    <definedName name="nev_k" localSheetId="17">#REF!</definedName>
    <definedName name="nev_k">#REF!</definedName>
    <definedName name="_xlnm.Print_Titles" localSheetId="2">'1.1 Összesítő'!$1:$6</definedName>
    <definedName name="_xlnm.Print_Titles" localSheetId="3">'1.1.1 Kötelező feladatok'!$1:$6</definedName>
    <definedName name="_xlnm.Print_Titles" localSheetId="4">'1.1.2 Önként váll feladatok'!$1:$6</definedName>
    <definedName name="_xlnm.Print_Titles" localSheetId="11">'7.1 Önkormányzat'!$1:$6</definedName>
    <definedName name="_xlnm.Print_Titles" localSheetId="12">'7.1.1 Önkormányzat (KÖT)'!$1:$6</definedName>
    <definedName name="_xlnm.Print_Titles" localSheetId="13">'7.1.2 Önkormányzat (ÖNK)'!$1:$6</definedName>
    <definedName name="_xlnm.Print_Titles" localSheetId="14">'7.2 Óvoda'!$1:$6</definedName>
    <definedName name="_xlnm.Print_Titles" localSheetId="15">'7.2.1. Óvoda (KÖT)'!$1:$6</definedName>
    <definedName name="_xlnm.Print_Area" localSheetId="2">'1.1 Összesítő'!$A$1:$D$154</definedName>
    <definedName name="_xlnm.Print_Area" localSheetId="3">'1.1.1 Kötelező feladatok'!$A$1:$D$151</definedName>
    <definedName name="_xlnm.Print_Area" localSheetId="4">'1.1.2 Önként váll feladatok'!$A$1:$D$151</definedName>
    <definedName name="_xlnm.Print_Area" localSheetId="19">'1.sz tájékoztató t.'!$A$1:$O$28</definedName>
    <definedName name="_xlnm.Print_Area" localSheetId="18">'10. Előirányzat felhasználás'!$A$1:$O$27</definedName>
    <definedName name="_xlnm.Print_Area" localSheetId="5">'2.1 Működési mérleg'!$A$1:$G$31</definedName>
    <definedName name="_xlnm.Print_Area" localSheetId="6">'2.2 Felhalmozási mérleg  '!$A$1:$G$34</definedName>
    <definedName name="_xlnm.Print_Area" localSheetId="20">'2.sz. tájékoztató t.'!$A$1:$D$27</definedName>
    <definedName name="_xlnm.Print_Area" localSheetId="7">'3. Adósság   '!$A$1:$F$12</definedName>
    <definedName name="_xlnm.Print_Area" localSheetId="8">'4. Saját bevétel'!$A$1:$D$12</definedName>
    <definedName name="_xlnm.Print_Area" localSheetId="9">'5. Beruhzások '!$A$1:$F$26</definedName>
    <definedName name="_xlnm.Print_Area" localSheetId="11">'7.1 Önkormányzat'!$A$1:$D$154</definedName>
    <definedName name="_xlnm.Print_Area" localSheetId="12">'7.1.1 Önkormányzat (KÖT)'!$A$1:$D$154</definedName>
    <definedName name="_xlnm.Print_Area" localSheetId="13">'7.1.2 Önkormányzat (ÖNK)'!$A$1:$D$154</definedName>
    <definedName name="_xlnm.Print_Area" localSheetId="14">'7.2 Óvoda'!$A$1:$D$59</definedName>
    <definedName name="_xlnm.Print_Area" localSheetId="15">'7.2.1. Óvoda (KÖT)'!$A$1:$D$59</definedName>
    <definedName name="_xlnm.Print_Area" localSheetId="16">'8. Tartalék'!$A$1:$D$33</definedName>
    <definedName name="_xlnm.Print_Area" localSheetId="0">Önkormányzat!$A$1:$AV$196</definedName>
    <definedName name="PUK" localSheetId="2">#REF!</definedName>
    <definedName name="PUK" localSheetId="3">#REF!</definedName>
    <definedName name="PUK" localSheetId="4">#REF!</definedName>
    <definedName name="PUK" localSheetId="19">#REF!</definedName>
    <definedName name="PUK" localSheetId="18">#REF!</definedName>
    <definedName name="PUK" localSheetId="5">#REF!</definedName>
    <definedName name="PUK" localSheetId="6">#REF!</definedName>
    <definedName name="PUK" localSheetId="20">#REF!</definedName>
    <definedName name="PUK" localSheetId="7">#REF!</definedName>
    <definedName name="PUK" localSheetId="21">#REF!</definedName>
    <definedName name="PUK" localSheetId="8">#REF!</definedName>
    <definedName name="PUK" localSheetId="22">#REF!</definedName>
    <definedName name="PUK" localSheetId="9">#REF!</definedName>
    <definedName name="PUK" localSheetId="10">#REF!</definedName>
    <definedName name="PUK" localSheetId="11">#REF!</definedName>
    <definedName name="PUK" localSheetId="12">#REF!</definedName>
    <definedName name="PUK" localSheetId="13">#REF!</definedName>
    <definedName name="PUK" localSheetId="14">#REF!</definedName>
    <definedName name="PUK" localSheetId="15">#REF!</definedName>
    <definedName name="PUK" localSheetId="16">#REF!</definedName>
    <definedName name="PUK" localSheetId="17">#REF!</definedName>
    <definedName name="PUK">#REF!</definedName>
    <definedName name="státusz" localSheetId="3">#REF!</definedName>
    <definedName name="státusz" localSheetId="4">#REF!</definedName>
    <definedName name="státusz" localSheetId="19">#REF!</definedName>
    <definedName name="státusz" localSheetId="12">#REF!</definedName>
    <definedName name="státusz" localSheetId="13">#REF!</definedName>
    <definedName name="státusz" localSheetId="14">#REF!</definedName>
    <definedName name="státusz" localSheetId="15">#REF!</definedName>
    <definedName name="státusz">#REF!</definedName>
    <definedName name="TAM_jogc_feldkod" localSheetId="19">[6]NATUR_select!$C$16:$D$287</definedName>
    <definedName name="TAM_jogc_feldkod" localSheetId="18">[6]NATUR_select!$C$16:$D$287</definedName>
    <definedName name="TAM_jogc_feldkod" localSheetId="20">[7]NATUR_select!$C$16:$D$287</definedName>
    <definedName name="TAM_jogc_feldkod" localSheetId="21">[7]NATUR_select!$C$16:$D$287</definedName>
    <definedName name="TAM_jogc_feldkod" localSheetId="22">[6]NATUR_select!$C$16:$D$287</definedName>
    <definedName name="TAM_jogc_feldkod" localSheetId="9">[8]NATUR_select!$C$16:$D$287</definedName>
    <definedName name="TAM_jogc_feldkod" localSheetId="17">[7]NATUR_select!$C$16:$D$287</definedName>
    <definedName name="TAM_jogc_feldkod">[8]NATUR_select!$C$16:$D$287</definedName>
    <definedName name="URSZ" localSheetId="2">#REF!</definedName>
    <definedName name="URSZ" localSheetId="3">#REF!</definedName>
    <definedName name="URSZ" localSheetId="4">#REF!</definedName>
    <definedName name="URSZ" localSheetId="19">#REF!</definedName>
    <definedName name="URSZ" localSheetId="18">#REF!</definedName>
    <definedName name="URSZ" localSheetId="5">#REF!</definedName>
    <definedName name="URSZ" localSheetId="6">#REF!</definedName>
    <definedName name="URSZ" localSheetId="20">#REF!</definedName>
    <definedName name="URSZ" localSheetId="7">#REF!</definedName>
    <definedName name="URSZ" localSheetId="21">#REF!</definedName>
    <definedName name="URSZ" localSheetId="8">#REF!</definedName>
    <definedName name="URSZ" localSheetId="22">#REF!</definedName>
    <definedName name="URSZ" localSheetId="9">#REF!</definedName>
    <definedName name="URSZ" localSheetId="10">#REF!</definedName>
    <definedName name="URSZ" localSheetId="11">#REF!</definedName>
    <definedName name="URSZ" localSheetId="12">#REF!</definedName>
    <definedName name="URSZ" localSheetId="13">#REF!</definedName>
    <definedName name="URSZ" localSheetId="14">#REF!</definedName>
    <definedName name="URSZ" localSheetId="15">#REF!</definedName>
    <definedName name="URSZ" localSheetId="16">#REF!</definedName>
    <definedName name="URSZ" localSheetId="17">#REF!</definedName>
    <definedName name="URSZ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35"/>
  <c r="E20"/>
  <c r="F20"/>
  <c r="G20"/>
  <c r="H20"/>
  <c r="I20"/>
  <c r="J20"/>
  <c r="K20"/>
  <c r="L20"/>
  <c r="M20"/>
  <c r="N20"/>
  <c r="F9" i="18"/>
  <c r="G9"/>
  <c r="H9"/>
  <c r="E9"/>
  <c r="D9"/>
  <c r="E7"/>
  <c r="E10"/>
  <c r="D2" i="22"/>
  <c r="C25" i="26"/>
  <c r="E7" i="19"/>
  <c r="E6"/>
  <c r="E10"/>
  <c r="E9"/>
  <c r="C33" i="20"/>
  <c r="F42"/>
  <c r="E42"/>
  <c r="D42"/>
  <c r="C42"/>
  <c r="G42" s="1"/>
  <c r="G40"/>
  <c r="G39"/>
  <c r="G38"/>
  <c r="G37"/>
  <c r="G36"/>
  <c r="C7"/>
  <c r="C6" i="12"/>
  <c r="C33" i="47" l="1"/>
  <c r="C107"/>
  <c r="C144"/>
  <c r="C143"/>
  <c r="C142"/>
  <c r="C141"/>
  <c r="C139"/>
  <c r="C138"/>
  <c r="C137"/>
  <c r="C134"/>
  <c r="C133"/>
  <c r="C132"/>
  <c r="C131"/>
  <c r="C129"/>
  <c r="C128"/>
  <c r="C127"/>
  <c r="C124"/>
  <c r="C123"/>
  <c r="C121"/>
  <c r="C120"/>
  <c r="C119"/>
  <c r="C118"/>
  <c r="C117"/>
  <c r="C116"/>
  <c r="C115"/>
  <c r="C114"/>
  <c r="C112"/>
  <c r="C111"/>
  <c r="C110"/>
  <c r="C109"/>
  <c r="C106"/>
  <c r="C105"/>
  <c r="C104"/>
  <c r="C103"/>
  <c r="C102"/>
  <c r="C101"/>
  <c r="C100"/>
  <c r="C99"/>
  <c r="C98"/>
  <c r="C96"/>
  <c r="C95"/>
  <c r="C94"/>
  <c r="C93"/>
  <c r="C85"/>
  <c r="C84"/>
  <c r="C83"/>
  <c r="C82"/>
  <c r="C80"/>
  <c r="C79"/>
  <c r="C78"/>
  <c r="C76"/>
  <c r="C75"/>
  <c r="C73"/>
  <c r="C72"/>
  <c r="C71"/>
  <c r="C70"/>
  <c r="C68"/>
  <c r="C67"/>
  <c r="C66"/>
  <c r="C63"/>
  <c r="C62"/>
  <c r="C61"/>
  <c r="C60"/>
  <c r="C58"/>
  <c r="C57"/>
  <c r="C56"/>
  <c r="C55"/>
  <c r="C53"/>
  <c r="C52"/>
  <c r="C51"/>
  <c r="C50"/>
  <c r="C49"/>
  <c r="C47"/>
  <c r="C46"/>
  <c r="C45"/>
  <c r="C44"/>
  <c r="C43"/>
  <c r="C42"/>
  <c r="C41"/>
  <c r="C40"/>
  <c r="C39"/>
  <c r="C38"/>
  <c r="C36"/>
  <c r="C35"/>
  <c r="C34"/>
  <c r="C32"/>
  <c r="C31"/>
  <c r="C28"/>
  <c r="C27"/>
  <c r="C26"/>
  <c r="C25"/>
  <c r="C24"/>
  <c r="C23"/>
  <c r="C21"/>
  <c r="C20"/>
  <c r="C19"/>
  <c r="C18"/>
  <c r="C17"/>
  <c r="C16"/>
  <c r="C14"/>
  <c r="C13"/>
  <c r="C12"/>
  <c r="C11"/>
  <c r="C10"/>
  <c r="C9"/>
  <c r="C33" i="55"/>
  <c r="E151"/>
  <c r="E150"/>
  <c r="D140"/>
  <c r="C140"/>
  <c r="C137"/>
  <c r="C136"/>
  <c r="C135" s="1"/>
  <c r="D135"/>
  <c r="D130"/>
  <c r="C130"/>
  <c r="C127"/>
  <c r="C126" s="1"/>
  <c r="C145" s="1"/>
  <c r="D126"/>
  <c r="D145" s="1"/>
  <c r="C123"/>
  <c r="D122"/>
  <c r="C122"/>
  <c r="C120"/>
  <c r="C113" s="1"/>
  <c r="D113"/>
  <c r="C111"/>
  <c r="C109"/>
  <c r="C108" s="1"/>
  <c r="D108"/>
  <c r="C102"/>
  <c r="C97" s="1"/>
  <c r="D97"/>
  <c r="C96"/>
  <c r="C95"/>
  <c r="C94"/>
  <c r="C93"/>
  <c r="D92"/>
  <c r="D125" s="1"/>
  <c r="D146" s="1"/>
  <c r="D81"/>
  <c r="C81"/>
  <c r="D77"/>
  <c r="D87" s="1"/>
  <c r="D151" s="1"/>
  <c r="C77"/>
  <c r="C75"/>
  <c r="D74"/>
  <c r="C74"/>
  <c r="D69"/>
  <c r="C69"/>
  <c r="D65"/>
  <c r="C65"/>
  <c r="C87" s="1"/>
  <c r="C151" s="1"/>
  <c r="D59"/>
  <c r="C59"/>
  <c r="C57"/>
  <c r="C54" s="1"/>
  <c r="D54"/>
  <c r="C50"/>
  <c r="C48" s="1"/>
  <c r="D48"/>
  <c r="C45"/>
  <c r="C43"/>
  <c r="C42"/>
  <c r="C41"/>
  <c r="C40"/>
  <c r="C39"/>
  <c r="C37" s="1"/>
  <c r="D37"/>
  <c r="C36"/>
  <c r="C34"/>
  <c r="C32"/>
  <c r="C30" s="1"/>
  <c r="C29" s="1"/>
  <c r="D29"/>
  <c r="C27"/>
  <c r="D22"/>
  <c r="C22"/>
  <c r="C20"/>
  <c r="C15" s="1"/>
  <c r="D15"/>
  <c r="C12"/>
  <c r="C8" s="1"/>
  <c r="C64" s="1"/>
  <c r="C11"/>
  <c r="C10"/>
  <c r="C9"/>
  <c r="D8"/>
  <c r="D64" s="1"/>
  <c r="C113" i="54"/>
  <c r="E151"/>
  <c r="E150"/>
  <c r="D140"/>
  <c r="C140"/>
  <c r="C135"/>
  <c r="D135"/>
  <c r="D130"/>
  <c r="C130"/>
  <c r="C126"/>
  <c r="C145" s="1"/>
  <c r="D126"/>
  <c r="D145" s="1"/>
  <c r="D122"/>
  <c r="C122"/>
  <c r="D113"/>
  <c r="C108"/>
  <c r="D108"/>
  <c r="C107"/>
  <c r="C97"/>
  <c r="C92" s="1"/>
  <c r="D97"/>
  <c r="D92"/>
  <c r="D125" s="1"/>
  <c r="D146" s="1"/>
  <c r="D81"/>
  <c r="C81"/>
  <c r="D77"/>
  <c r="D87" s="1"/>
  <c r="D151" s="1"/>
  <c r="C77"/>
  <c r="D74"/>
  <c r="C74"/>
  <c r="D69"/>
  <c r="C69"/>
  <c r="D65"/>
  <c r="C65"/>
  <c r="C87" s="1"/>
  <c r="C151" s="1"/>
  <c r="D59"/>
  <c r="C59"/>
  <c r="C54"/>
  <c r="D54"/>
  <c r="C48"/>
  <c r="D48"/>
  <c r="C37"/>
  <c r="D37"/>
  <c r="C30"/>
  <c r="C29" s="1"/>
  <c r="D29"/>
  <c r="D22"/>
  <c r="C22"/>
  <c r="C15"/>
  <c r="D15"/>
  <c r="C8"/>
  <c r="D8"/>
  <c r="D64" s="1"/>
  <c r="C54" i="53"/>
  <c r="C53"/>
  <c r="C52"/>
  <c r="C51"/>
  <c r="C50" s="1"/>
  <c r="D50"/>
  <c r="C49"/>
  <c r="C44" s="1"/>
  <c r="C55" s="1"/>
  <c r="C47"/>
  <c r="C46"/>
  <c r="C45"/>
  <c r="D44"/>
  <c r="D55" s="1"/>
  <c r="C39"/>
  <c r="C36" s="1"/>
  <c r="D36"/>
  <c r="D29"/>
  <c r="C29"/>
  <c r="D25"/>
  <c r="C25"/>
  <c r="D19"/>
  <c r="C19"/>
  <c r="C18"/>
  <c r="C16"/>
  <c r="C15"/>
  <c r="C14"/>
  <c r="C13"/>
  <c r="C10"/>
  <c r="C8" s="1"/>
  <c r="C35" s="1"/>
  <c r="D8"/>
  <c r="D35" s="1"/>
  <c r="D40" s="1"/>
  <c r="C92" i="55" l="1"/>
  <c r="D88"/>
  <c r="D150"/>
  <c r="C88"/>
  <c r="C125"/>
  <c r="C146" s="1"/>
  <c r="C64" i="54"/>
  <c r="C88" s="1"/>
  <c r="D150"/>
  <c r="D88"/>
  <c r="C125"/>
  <c r="C146" s="1"/>
  <c r="C40" i="53"/>
  <c r="E106" i="36"/>
  <c r="AI64"/>
  <c r="AK105"/>
  <c r="AL105"/>
  <c r="C124" i="8"/>
  <c r="D8" i="17"/>
  <c r="F106" i="36"/>
  <c r="U106"/>
  <c r="AV106"/>
  <c r="C123" i="50"/>
  <c r="C123" i="8"/>
  <c r="C122" s="1"/>
  <c r="F11" i="9"/>
  <c r="F16" i="10"/>
  <c r="C32" i="17"/>
  <c r="F119" i="36"/>
  <c r="U119"/>
  <c r="AV119"/>
  <c r="C120" i="50"/>
  <c r="C120" i="8"/>
  <c r="C113" s="1"/>
  <c r="F190" i="36"/>
  <c r="U190"/>
  <c r="AV190"/>
  <c r="C75" i="50"/>
  <c r="C75" i="8"/>
  <c r="C19" i="10" s="1"/>
  <c r="C18" s="1"/>
  <c r="C30" s="1"/>
  <c r="F131" i="36"/>
  <c r="U131"/>
  <c r="AV131"/>
  <c r="C9" i="50"/>
  <c r="C9" i="8"/>
  <c r="F132" i="36"/>
  <c r="U132"/>
  <c r="AV132"/>
  <c r="C10" i="50"/>
  <c r="C10" i="8"/>
  <c r="F133" i="36"/>
  <c r="K133"/>
  <c r="U133"/>
  <c r="AV133"/>
  <c r="C11" i="50"/>
  <c r="C11" i="8"/>
  <c r="C8" s="1"/>
  <c r="F134" i="36"/>
  <c r="U134"/>
  <c r="AV134"/>
  <c r="C12" i="50"/>
  <c r="C12" i="8"/>
  <c r="F140" i="36"/>
  <c r="T140"/>
  <c r="U140"/>
  <c r="AB140"/>
  <c r="AG140"/>
  <c r="AV140"/>
  <c r="C20" i="50"/>
  <c r="C20" i="8"/>
  <c r="C15" s="1"/>
  <c r="B151" i="36"/>
  <c r="C151"/>
  <c r="D151"/>
  <c r="E151"/>
  <c r="F148"/>
  <c r="F149"/>
  <c r="F151"/>
  <c r="G151"/>
  <c r="H151"/>
  <c r="I151"/>
  <c r="J151"/>
  <c r="K151"/>
  <c r="L151"/>
  <c r="M151"/>
  <c r="N151"/>
  <c r="O151"/>
  <c r="P151"/>
  <c r="Q151"/>
  <c r="R151"/>
  <c r="S151"/>
  <c r="T151"/>
  <c r="U148"/>
  <c r="U149"/>
  <c r="U151"/>
  <c r="W151"/>
  <c r="X151"/>
  <c r="Y151"/>
  <c r="Z151"/>
  <c r="AA151"/>
  <c r="AB151"/>
  <c r="AC151"/>
  <c r="AD151"/>
  <c r="AE151"/>
  <c r="AF151"/>
  <c r="AG151"/>
  <c r="AH151"/>
  <c r="AI151"/>
  <c r="AK151"/>
  <c r="AL151"/>
  <c r="AM151"/>
  <c r="AN151"/>
  <c r="AO151"/>
  <c r="AP151"/>
  <c r="AQ151"/>
  <c r="AR151"/>
  <c r="AS151"/>
  <c r="AT151"/>
  <c r="AU151"/>
  <c r="AV151"/>
  <c r="C32" i="50"/>
  <c r="C32" i="8"/>
  <c r="B154" i="36"/>
  <c r="C154"/>
  <c r="D154"/>
  <c r="E154"/>
  <c r="F152"/>
  <c r="F153"/>
  <c r="F154"/>
  <c r="G154"/>
  <c r="H154"/>
  <c r="I154"/>
  <c r="J154"/>
  <c r="K154"/>
  <c r="L154"/>
  <c r="M154"/>
  <c r="N154"/>
  <c r="O154"/>
  <c r="P154"/>
  <c r="Q154"/>
  <c r="R154"/>
  <c r="S154"/>
  <c r="T154"/>
  <c r="U152"/>
  <c r="U153"/>
  <c r="U154"/>
  <c r="W154"/>
  <c r="X154"/>
  <c r="Y154"/>
  <c r="Z154"/>
  <c r="AA154"/>
  <c r="AB154"/>
  <c r="AC154"/>
  <c r="AD154"/>
  <c r="AE154"/>
  <c r="AF154"/>
  <c r="AG154"/>
  <c r="AH154"/>
  <c r="AI154"/>
  <c r="AK154"/>
  <c r="AL154"/>
  <c r="AM154"/>
  <c r="AN154"/>
  <c r="AO154"/>
  <c r="AP154"/>
  <c r="AQ154"/>
  <c r="AR154"/>
  <c r="AS154"/>
  <c r="AT154"/>
  <c r="AU154"/>
  <c r="AV154"/>
  <c r="C33" i="50"/>
  <c r="C33" i="8"/>
  <c r="B157" i="36"/>
  <c r="C157"/>
  <c r="D157"/>
  <c r="E157"/>
  <c r="F155"/>
  <c r="F156"/>
  <c r="F157"/>
  <c r="G157"/>
  <c r="H157"/>
  <c r="I157"/>
  <c r="J157"/>
  <c r="K157"/>
  <c r="L157"/>
  <c r="M157"/>
  <c r="N157"/>
  <c r="O157"/>
  <c r="P157"/>
  <c r="Q157"/>
  <c r="R157"/>
  <c r="S157"/>
  <c r="T157"/>
  <c r="U155"/>
  <c r="U156"/>
  <c r="U157"/>
  <c r="W157"/>
  <c r="X157"/>
  <c r="Y157"/>
  <c r="Z157"/>
  <c r="AA157"/>
  <c r="AB157"/>
  <c r="AC157"/>
  <c r="AD157"/>
  <c r="AE157"/>
  <c r="AF157"/>
  <c r="AG157"/>
  <c r="AH157"/>
  <c r="AI157"/>
  <c r="AK157"/>
  <c r="AL157"/>
  <c r="AM157"/>
  <c r="AN157"/>
  <c r="AO157"/>
  <c r="AP157"/>
  <c r="AQ157"/>
  <c r="AR157"/>
  <c r="AS157"/>
  <c r="AT157"/>
  <c r="AU157"/>
  <c r="AV157"/>
  <c r="C34" i="50"/>
  <c r="C34" i="8"/>
  <c r="C30"/>
  <c r="C5" i="12" s="1"/>
  <c r="C11" s="1"/>
  <c r="B166" i="36"/>
  <c r="C166"/>
  <c r="D166"/>
  <c r="E166"/>
  <c r="F161"/>
  <c r="F162"/>
  <c r="F163"/>
  <c r="F164"/>
  <c r="F165"/>
  <c r="F166"/>
  <c r="G166"/>
  <c r="H166"/>
  <c r="I166"/>
  <c r="J166"/>
  <c r="K166"/>
  <c r="L166"/>
  <c r="M166"/>
  <c r="N166"/>
  <c r="O166"/>
  <c r="P166"/>
  <c r="Q166"/>
  <c r="R166"/>
  <c r="S166"/>
  <c r="T166"/>
  <c r="U161"/>
  <c r="U162"/>
  <c r="U163"/>
  <c r="U164"/>
  <c r="U165"/>
  <c r="U166"/>
  <c r="W166"/>
  <c r="X166"/>
  <c r="Y166"/>
  <c r="Z166"/>
  <c r="AA166"/>
  <c r="AB166"/>
  <c r="AC166"/>
  <c r="AD166"/>
  <c r="AE166"/>
  <c r="AF166"/>
  <c r="AG166"/>
  <c r="AH166"/>
  <c r="AI166"/>
  <c r="AK166"/>
  <c r="AL166"/>
  <c r="AM166"/>
  <c r="AN166"/>
  <c r="AO166"/>
  <c r="AP166"/>
  <c r="AQ166"/>
  <c r="AR166"/>
  <c r="AS166"/>
  <c r="AT162"/>
  <c r="AT163"/>
  <c r="AT166"/>
  <c r="AU166"/>
  <c r="AV166"/>
  <c r="C36" i="50"/>
  <c r="C36" i="8"/>
  <c r="C29"/>
  <c r="F168" i="36"/>
  <c r="H168"/>
  <c r="U168"/>
  <c r="AA168"/>
  <c r="AV168"/>
  <c r="C39" i="50"/>
  <c r="T165" i="49"/>
  <c r="W165"/>
  <c r="C10" i="52"/>
  <c r="C39" i="8"/>
  <c r="E59" i="36"/>
  <c r="E60"/>
  <c r="E169"/>
  <c r="F169"/>
  <c r="I58"/>
  <c r="I59"/>
  <c r="I60"/>
  <c r="I169"/>
  <c r="U169"/>
  <c r="Z59"/>
  <c r="Z60"/>
  <c r="Z169"/>
  <c r="AB59"/>
  <c r="AB60"/>
  <c r="AB169"/>
  <c r="AG59"/>
  <c r="AG60"/>
  <c r="AG169"/>
  <c r="AQ59"/>
  <c r="AQ60"/>
  <c r="AQ169"/>
  <c r="AV169"/>
  <c r="C40" i="50"/>
  <c r="C40" i="8"/>
  <c r="B171" i="36"/>
  <c r="C171"/>
  <c r="D171"/>
  <c r="E171"/>
  <c r="F171"/>
  <c r="G171"/>
  <c r="H171"/>
  <c r="I170"/>
  <c r="I171"/>
  <c r="J171"/>
  <c r="K171"/>
  <c r="L171"/>
  <c r="M171"/>
  <c r="N171"/>
  <c r="O171"/>
  <c r="P171"/>
  <c r="Q171"/>
  <c r="R171"/>
  <c r="S171"/>
  <c r="T171"/>
  <c r="U171"/>
  <c r="W171"/>
  <c r="X171"/>
  <c r="Y171"/>
  <c r="Z171"/>
  <c r="AA171"/>
  <c r="AB171"/>
  <c r="AC171"/>
  <c r="AD171"/>
  <c r="AE171"/>
  <c r="AF171"/>
  <c r="AG171"/>
  <c r="AH171"/>
  <c r="AI171"/>
  <c r="AK171"/>
  <c r="AL171"/>
  <c r="AM171"/>
  <c r="AN171"/>
  <c r="AO171"/>
  <c r="AP171"/>
  <c r="AQ171"/>
  <c r="AR171"/>
  <c r="AT171"/>
  <c r="AU171"/>
  <c r="AV171"/>
  <c r="C41" i="50"/>
  <c r="C41" i="8"/>
  <c r="T169" i="49"/>
  <c r="W169"/>
  <c r="C13" i="52"/>
  <c r="C42" i="8"/>
  <c r="E173" i="36"/>
  <c r="F173"/>
  <c r="I173"/>
  <c r="U173"/>
  <c r="Z173"/>
  <c r="AA173"/>
  <c r="AB173"/>
  <c r="AG173"/>
  <c r="AQ173"/>
  <c r="AV173"/>
  <c r="C43" i="50"/>
  <c r="S170" i="49"/>
  <c r="T170"/>
  <c r="W170"/>
  <c r="C14" i="52"/>
  <c r="C43" i="8"/>
  <c r="S32" i="49"/>
  <c r="S33"/>
  <c r="S39"/>
  <c r="S40"/>
  <c r="S42"/>
  <c r="S44"/>
  <c r="S45"/>
  <c r="S46"/>
  <c r="S47"/>
  <c r="S48"/>
  <c r="S49"/>
  <c r="S51"/>
  <c r="S52"/>
  <c r="S53"/>
  <c r="S58"/>
  <c r="S61"/>
  <c r="S63"/>
  <c r="S71"/>
  <c r="S171"/>
  <c r="T171"/>
  <c r="W171"/>
  <c r="C15" i="52"/>
  <c r="C44" i="8"/>
  <c r="F175" i="36"/>
  <c r="U175"/>
  <c r="AV175"/>
  <c r="C45" i="50"/>
  <c r="J172" i="49"/>
  <c r="T172"/>
  <c r="W172"/>
  <c r="C16" i="52"/>
  <c r="C45" i="8"/>
  <c r="J173" i="49"/>
  <c r="T173"/>
  <c r="W173"/>
  <c r="C18" i="52"/>
  <c r="C47" i="8"/>
  <c r="C37"/>
  <c r="C10" i="9" s="1"/>
  <c r="F184" i="36"/>
  <c r="U184"/>
  <c r="AV184"/>
  <c r="C57" i="50"/>
  <c r="C57" i="8"/>
  <c r="C54" s="1"/>
  <c r="C154"/>
  <c r="C153"/>
  <c r="F124" i="36"/>
  <c r="U124"/>
  <c r="AV124"/>
  <c r="C137" i="50"/>
  <c r="C137" i="8"/>
  <c r="C135" s="1"/>
  <c r="F122" i="36"/>
  <c r="U122"/>
  <c r="AU122"/>
  <c r="AV122"/>
  <c r="C127" i="50"/>
  <c r="C127" i="8"/>
  <c r="F105" i="36"/>
  <c r="U105"/>
  <c r="AM105"/>
  <c r="AV105"/>
  <c r="C107" i="50"/>
  <c r="C107" i="8"/>
  <c r="F104" i="36"/>
  <c r="L104"/>
  <c r="U104"/>
  <c r="AV104"/>
  <c r="C102" i="50"/>
  <c r="C102" i="8"/>
  <c r="B113" i="36"/>
  <c r="C113"/>
  <c r="D113"/>
  <c r="E112"/>
  <c r="E113"/>
  <c r="F108"/>
  <c r="F109"/>
  <c r="F110"/>
  <c r="F111"/>
  <c r="F112"/>
  <c r="F113"/>
  <c r="G113"/>
  <c r="H113"/>
  <c r="I113"/>
  <c r="J113"/>
  <c r="K113"/>
  <c r="L113"/>
  <c r="M113"/>
  <c r="N113"/>
  <c r="O113"/>
  <c r="P113"/>
  <c r="Q113"/>
  <c r="R113"/>
  <c r="S113"/>
  <c r="T113"/>
  <c r="U108"/>
  <c r="U110"/>
  <c r="U111"/>
  <c r="U112"/>
  <c r="U113"/>
  <c r="W113"/>
  <c r="X113"/>
  <c r="Y113"/>
  <c r="Z113"/>
  <c r="AA113"/>
  <c r="AB113"/>
  <c r="AC113"/>
  <c r="AD113"/>
  <c r="AE113"/>
  <c r="AF113"/>
  <c r="AG113"/>
  <c r="AH113"/>
  <c r="AI113"/>
  <c r="AK113"/>
  <c r="AL113"/>
  <c r="AM113"/>
  <c r="AN113"/>
  <c r="AO113"/>
  <c r="AP113"/>
  <c r="AQ113"/>
  <c r="AR113"/>
  <c r="AT113"/>
  <c r="AU113"/>
  <c r="AV113"/>
  <c r="C109" i="50"/>
  <c r="J106" i="49"/>
  <c r="J107"/>
  <c r="J108"/>
  <c r="J109"/>
  <c r="J110"/>
  <c r="J111"/>
  <c r="L111"/>
  <c r="N111"/>
  <c r="U111"/>
  <c r="V111"/>
  <c r="T106"/>
  <c r="T107"/>
  <c r="T108"/>
  <c r="T109"/>
  <c r="S110"/>
  <c r="T110"/>
  <c r="T111"/>
  <c r="M109"/>
  <c r="M110"/>
  <c r="M111"/>
  <c r="W111"/>
  <c r="C51" i="52"/>
  <c r="C109" i="8"/>
  <c r="B84" i="36"/>
  <c r="B86"/>
  <c r="B88"/>
  <c r="B90"/>
  <c r="B92"/>
  <c r="B96"/>
  <c r="B97"/>
  <c r="C84"/>
  <c r="C86"/>
  <c r="C88"/>
  <c r="C90"/>
  <c r="C92"/>
  <c r="C96"/>
  <c r="C97"/>
  <c r="D84"/>
  <c r="D86"/>
  <c r="D88"/>
  <c r="D90"/>
  <c r="D92"/>
  <c r="D96"/>
  <c r="D97"/>
  <c r="E84"/>
  <c r="E86"/>
  <c r="E88"/>
  <c r="E90"/>
  <c r="E92"/>
  <c r="E96"/>
  <c r="E97"/>
  <c r="F83"/>
  <c r="F84"/>
  <c r="F85"/>
  <c r="F86"/>
  <c r="F87"/>
  <c r="F88"/>
  <c r="F89"/>
  <c r="F90"/>
  <c r="F91"/>
  <c r="F92"/>
  <c r="F93"/>
  <c r="F94"/>
  <c r="F95"/>
  <c r="F96"/>
  <c r="F97"/>
  <c r="G84"/>
  <c r="G86"/>
  <c r="G88"/>
  <c r="G90"/>
  <c r="G92"/>
  <c r="G96"/>
  <c r="G97"/>
  <c r="H84"/>
  <c r="H86"/>
  <c r="H88"/>
  <c r="H90"/>
  <c r="H92"/>
  <c r="H96"/>
  <c r="H97"/>
  <c r="I84"/>
  <c r="I86"/>
  <c r="I88"/>
  <c r="I90"/>
  <c r="I92"/>
  <c r="I96"/>
  <c r="I97"/>
  <c r="J84"/>
  <c r="J86"/>
  <c r="J88"/>
  <c r="J90"/>
  <c r="J92"/>
  <c r="J96"/>
  <c r="J97"/>
  <c r="K84"/>
  <c r="K86"/>
  <c r="K88"/>
  <c r="K90"/>
  <c r="K92"/>
  <c r="K96"/>
  <c r="K97"/>
  <c r="L84"/>
  <c r="L86"/>
  <c r="L88"/>
  <c r="L90"/>
  <c r="L92"/>
  <c r="L96"/>
  <c r="L97"/>
  <c r="M84"/>
  <c r="M86"/>
  <c r="M88"/>
  <c r="M90"/>
  <c r="M92"/>
  <c r="M96"/>
  <c r="M97"/>
  <c r="N84"/>
  <c r="N86"/>
  <c r="N88"/>
  <c r="N90"/>
  <c r="N92"/>
  <c r="N96"/>
  <c r="N97"/>
  <c r="O84"/>
  <c r="O86"/>
  <c r="O88"/>
  <c r="O90"/>
  <c r="O92"/>
  <c r="O96"/>
  <c r="O97"/>
  <c r="P84"/>
  <c r="P86"/>
  <c r="P88"/>
  <c r="P90"/>
  <c r="P92"/>
  <c r="P96"/>
  <c r="P97"/>
  <c r="Q84"/>
  <c r="Q86"/>
  <c r="Q88"/>
  <c r="Q90"/>
  <c r="Q92"/>
  <c r="Q96"/>
  <c r="Q97"/>
  <c r="R84"/>
  <c r="R86"/>
  <c r="R88"/>
  <c r="R90"/>
  <c r="R92"/>
  <c r="R96"/>
  <c r="R97"/>
  <c r="S84"/>
  <c r="S86"/>
  <c r="S88"/>
  <c r="S90"/>
  <c r="S92"/>
  <c r="S96"/>
  <c r="S97"/>
  <c r="T84"/>
  <c r="T86"/>
  <c r="T88"/>
  <c r="T90"/>
  <c r="T92"/>
  <c r="T96"/>
  <c r="T97"/>
  <c r="U83"/>
  <c r="U84"/>
  <c r="U85"/>
  <c r="U86"/>
  <c r="U87"/>
  <c r="U88"/>
  <c r="U89"/>
  <c r="U90"/>
  <c r="U91"/>
  <c r="U92"/>
  <c r="U93"/>
  <c r="U94"/>
  <c r="U95"/>
  <c r="U96"/>
  <c r="U97"/>
  <c r="W84"/>
  <c r="W86"/>
  <c r="W88"/>
  <c r="W90"/>
  <c r="W92"/>
  <c r="W96"/>
  <c r="W97"/>
  <c r="X84"/>
  <c r="X86"/>
  <c r="X88"/>
  <c r="X90"/>
  <c r="X92"/>
  <c r="X96"/>
  <c r="X97"/>
  <c r="Y84"/>
  <c r="Y86"/>
  <c r="Y88"/>
  <c r="Y90"/>
  <c r="Y92"/>
  <c r="Y96"/>
  <c r="Y97"/>
  <c r="Z84"/>
  <c r="Z86"/>
  <c r="Z88"/>
  <c r="Z90"/>
  <c r="Z92"/>
  <c r="Z96"/>
  <c r="Z97"/>
  <c r="AA84"/>
  <c r="AA86"/>
  <c r="AA88"/>
  <c r="AA90"/>
  <c r="AA92"/>
  <c r="AA96"/>
  <c r="AA97"/>
  <c r="AB84"/>
  <c r="AB86"/>
  <c r="AB88"/>
  <c r="AB90"/>
  <c r="AB92"/>
  <c r="AB96"/>
  <c r="AB97"/>
  <c r="AC84"/>
  <c r="AC86"/>
  <c r="AC88"/>
  <c r="AC90"/>
  <c r="AC92"/>
  <c r="AC96"/>
  <c r="AC97"/>
  <c r="AD84"/>
  <c r="AD86"/>
  <c r="AD88"/>
  <c r="AD90"/>
  <c r="AD92"/>
  <c r="AD96"/>
  <c r="AD97"/>
  <c r="AE84"/>
  <c r="AE86"/>
  <c r="AE88"/>
  <c r="AE90"/>
  <c r="AE92"/>
  <c r="AE96"/>
  <c r="AE97"/>
  <c r="AF84"/>
  <c r="AF86"/>
  <c r="AF88"/>
  <c r="AF90"/>
  <c r="AF92"/>
  <c r="AF96"/>
  <c r="AF97"/>
  <c r="AG84"/>
  <c r="AG86"/>
  <c r="AG88"/>
  <c r="AG90"/>
  <c r="AG92"/>
  <c r="AG96"/>
  <c r="AG97"/>
  <c r="AH84"/>
  <c r="AH86"/>
  <c r="AH88"/>
  <c r="AH90"/>
  <c r="AH92"/>
  <c r="AH96"/>
  <c r="AH97"/>
  <c r="AI84"/>
  <c r="AI86"/>
  <c r="AI88"/>
  <c r="AI90"/>
  <c r="AI92"/>
  <c r="AI96"/>
  <c r="AI97"/>
  <c r="AK84"/>
  <c r="AK86"/>
  <c r="AK88"/>
  <c r="AK90"/>
  <c r="AK92"/>
  <c r="AK96"/>
  <c r="AK97"/>
  <c r="AL84"/>
  <c r="AL86"/>
  <c r="AL88"/>
  <c r="AL90"/>
  <c r="AL92"/>
  <c r="AL96"/>
  <c r="AL97"/>
  <c r="AM84"/>
  <c r="AM86"/>
  <c r="AM88"/>
  <c r="AM90"/>
  <c r="AM92"/>
  <c r="AM96"/>
  <c r="AM97"/>
  <c r="AN84"/>
  <c r="AN86"/>
  <c r="AN88"/>
  <c r="AN90"/>
  <c r="AN92"/>
  <c r="AN96"/>
  <c r="AN97"/>
  <c r="AO84"/>
  <c r="AO86"/>
  <c r="AO88"/>
  <c r="AO90"/>
  <c r="AO92"/>
  <c r="AO96"/>
  <c r="AO97"/>
  <c r="AP84"/>
  <c r="AP86"/>
  <c r="AP88"/>
  <c r="AP90"/>
  <c r="AP92"/>
  <c r="AP96"/>
  <c r="AP97"/>
  <c r="AQ84"/>
  <c r="AQ86"/>
  <c r="AQ88"/>
  <c r="AQ90"/>
  <c r="AQ92"/>
  <c r="AQ96"/>
  <c r="AQ97"/>
  <c r="AR84"/>
  <c r="AR86"/>
  <c r="AR88"/>
  <c r="AR90"/>
  <c r="AR92"/>
  <c r="AR94"/>
  <c r="AR95"/>
  <c r="AR96"/>
  <c r="AR97"/>
  <c r="AT84"/>
  <c r="AT86"/>
  <c r="AT88"/>
  <c r="AT90"/>
  <c r="AT92"/>
  <c r="AT96"/>
  <c r="AT97"/>
  <c r="AU84"/>
  <c r="AU86"/>
  <c r="AU88"/>
  <c r="AU90"/>
  <c r="AU92"/>
  <c r="AU96"/>
  <c r="AU97"/>
  <c r="AV97"/>
  <c r="C96" i="50"/>
  <c r="C96" i="8"/>
  <c r="B32" i="36"/>
  <c r="B39"/>
  <c r="B40"/>
  <c r="B45"/>
  <c r="B47"/>
  <c r="B54"/>
  <c r="B60"/>
  <c r="B63"/>
  <c r="B65"/>
  <c r="B68"/>
  <c r="B70"/>
  <c r="B71"/>
  <c r="B74"/>
  <c r="B80"/>
  <c r="B81"/>
  <c r="B82"/>
  <c r="C32"/>
  <c r="C39"/>
  <c r="C40"/>
  <c r="C45"/>
  <c r="C47"/>
  <c r="C54"/>
  <c r="C60"/>
  <c r="C63"/>
  <c r="C65"/>
  <c r="C68"/>
  <c r="C70"/>
  <c r="C71"/>
  <c r="C74"/>
  <c r="C80"/>
  <c r="C81"/>
  <c r="C82"/>
  <c r="D32"/>
  <c r="D39"/>
  <c r="D40"/>
  <c r="D45"/>
  <c r="D47"/>
  <c r="D54"/>
  <c r="D60"/>
  <c r="D63"/>
  <c r="D65"/>
  <c r="D68"/>
  <c r="D70"/>
  <c r="D71"/>
  <c r="D74"/>
  <c r="D80"/>
  <c r="D81"/>
  <c r="D82"/>
  <c r="E29"/>
  <c r="E32"/>
  <c r="E39"/>
  <c r="E40"/>
  <c r="E42"/>
  <c r="E44"/>
  <c r="E45"/>
  <c r="E46"/>
  <c r="E47"/>
  <c r="E50"/>
  <c r="E51"/>
  <c r="E53"/>
  <c r="E54"/>
  <c r="E62"/>
  <c r="E63"/>
  <c r="E64"/>
  <c r="E65"/>
  <c r="E68"/>
  <c r="E70"/>
  <c r="E71"/>
  <c r="E74"/>
  <c r="E80"/>
  <c r="E81"/>
  <c r="E82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G32"/>
  <c r="G39"/>
  <c r="G40"/>
  <c r="G45"/>
  <c r="G47"/>
  <c r="G50"/>
  <c r="G53"/>
  <c r="G54"/>
  <c r="G60"/>
  <c r="G63"/>
  <c r="G64"/>
  <c r="G65"/>
  <c r="G68"/>
  <c r="G70"/>
  <c r="G71"/>
  <c r="G80"/>
  <c r="G81"/>
  <c r="G82"/>
  <c r="H32"/>
  <c r="H39"/>
  <c r="H40"/>
  <c r="H44"/>
  <c r="H45"/>
  <c r="H47"/>
  <c r="H53"/>
  <c r="H54"/>
  <c r="H60"/>
  <c r="H63"/>
  <c r="H65"/>
  <c r="H68"/>
  <c r="H70"/>
  <c r="H71"/>
  <c r="H80"/>
  <c r="H81"/>
  <c r="H82"/>
  <c r="I32"/>
  <c r="I39"/>
  <c r="I40"/>
  <c r="I44"/>
  <c r="I45"/>
  <c r="I46"/>
  <c r="I47"/>
  <c r="I50"/>
  <c r="I51"/>
  <c r="I53"/>
  <c r="I54"/>
  <c r="I62"/>
  <c r="I63"/>
  <c r="I64"/>
  <c r="I65"/>
  <c r="I68"/>
  <c r="I70"/>
  <c r="I71"/>
  <c r="I80"/>
  <c r="I81"/>
  <c r="I82"/>
  <c r="J32"/>
  <c r="J39"/>
  <c r="J40"/>
  <c r="J45"/>
  <c r="J47"/>
  <c r="J54"/>
  <c r="J60"/>
  <c r="J63"/>
  <c r="J65"/>
  <c r="J68"/>
  <c r="J70"/>
  <c r="J71"/>
  <c r="J80"/>
  <c r="J81"/>
  <c r="J82"/>
  <c r="K32"/>
  <c r="K39"/>
  <c r="K40"/>
  <c r="K45"/>
  <c r="K47"/>
  <c r="K54"/>
  <c r="K60"/>
  <c r="K63"/>
  <c r="K65"/>
  <c r="K68"/>
  <c r="K70"/>
  <c r="K71"/>
  <c r="K80"/>
  <c r="K81"/>
  <c r="K82"/>
  <c r="L32"/>
  <c r="L39"/>
  <c r="L40"/>
  <c r="L45"/>
  <c r="L47"/>
  <c r="L54"/>
  <c r="L60"/>
  <c r="L63"/>
  <c r="L65"/>
  <c r="L68"/>
  <c r="L70"/>
  <c r="L71"/>
  <c r="L80"/>
  <c r="L81"/>
  <c r="L82"/>
  <c r="M32"/>
  <c r="M39"/>
  <c r="M40"/>
  <c r="M45"/>
  <c r="M47"/>
  <c r="M54"/>
  <c r="M60"/>
  <c r="M63"/>
  <c r="M65"/>
  <c r="M68"/>
  <c r="M70"/>
  <c r="M71"/>
  <c r="M74"/>
  <c r="M80"/>
  <c r="M81"/>
  <c r="M82"/>
  <c r="N32"/>
  <c r="N39"/>
  <c r="N40"/>
  <c r="N45"/>
  <c r="N47"/>
  <c r="N54"/>
  <c r="N60"/>
  <c r="N63"/>
  <c r="N65"/>
  <c r="N68"/>
  <c r="N70"/>
  <c r="N71"/>
  <c r="N74"/>
  <c r="N80"/>
  <c r="N81"/>
  <c r="N82"/>
  <c r="O32"/>
  <c r="O39"/>
  <c r="O40"/>
  <c r="O45"/>
  <c r="O47"/>
  <c r="O54"/>
  <c r="O60"/>
  <c r="O63"/>
  <c r="O65"/>
  <c r="O68"/>
  <c r="O70"/>
  <c r="O71"/>
  <c r="O74"/>
  <c r="O80"/>
  <c r="O81"/>
  <c r="O82"/>
  <c r="P32"/>
  <c r="P39"/>
  <c r="P40"/>
  <c r="P45"/>
  <c r="P47"/>
  <c r="P54"/>
  <c r="P60"/>
  <c r="P63"/>
  <c r="P65"/>
  <c r="P68"/>
  <c r="P70"/>
  <c r="P71"/>
  <c r="P74"/>
  <c r="P80"/>
  <c r="P81"/>
  <c r="P82"/>
  <c r="Q32"/>
  <c r="Q39"/>
  <c r="Q40"/>
  <c r="Q45"/>
  <c r="Q47"/>
  <c r="Q54"/>
  <c r="Q60"/>
  <c r="Q63"/>
  <c r="Q65"/>
  <c r="Q68"/>
  <c r="Q70"/>
  <c r="Q71"/>
  <c r="Q74"/>
  <c r="Q80"/>
  <c r="Q81"/>
  <c r="Q82"/>
  <c r="R32"/>
  <c r="R39"/>
  <c r="R40"/>
  <c r="R45"/>
  <c r="R47"/>
  <c r="R54"/>
  <c r="R60"/>
  <c r="R63"/>
  <c r="R65"/>
  <c r="R68"/>
  <c r="R70"/>
  <c r="R71"/>
  <c r="R74"/>
  <c r="R80"/>
  <c r="R81"/>
  <c r="R82"/>
  <c r="S32"/>
  <c r="S39"/>
  <c r="S40"/>
  <c r="S45"/>
  <c r="S47"/>
  <c r="S54"/>
  <c r="S60"/>
  <c r="S63"/>
  <c r="S65"/>
  <c r="S68"/>
  <c r="S70"/>
  <c r="S71"/>
  <c r="S74"/>
  <c r="S80"/>
  <c r="S81"/>
  <c r="S82"/>
  <c r="T32"/>
  <c r="T39"/>
  <c r="T40"/>
  <c r="T45"/>
  <c r="T47"/>
  <c r="T54"/>
  <c r="T60"/>
  <c r="T63"/>
  <c r="T65"/>
  <c r="T68"/>
  <c r="T70"/>
  <c r="T71"/>
  <c r="T74"/>
  <c r="T80"/>
  <c r="T81"/>
  <c r="T82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W32"/>
  <c r="W39"/>
  <c r="W40"/>
  <c r="W45"/>
  <c r="W47"/>
  <c r="W54"/>
  <c r="W60"/>
  <c r="W62"/>
  <c r="W63"/>
  <c r="W65"/>
  <c r="W68"/>
  <c r="W70"/>
  <c r="W71"/>
  <c r="W80"/>
  <c r="W81"/>
  <c r="W82"/>
  <c r="X32"/>
  <c r="X39"/>
  <c r="X40"/>
  <c r="X45"/>
  <c r="X47"/>
  <c r="X54"/>
  <c r="X60"/>
  <c r="X63"/>
  <c r="X65"/>
  <c r="X68"/>
  <c r="X70"/>
  <c r="X71"/>
  <c r="X80"/>
  <c r="X81"/>
  <c r="X82"/>
  <c r="Y32"/>
  <c r="Y39"/>
  <c r="Y40"/>
  <c r="Y45"/>
  <c r="Y47"/>
  <c r="Y50"/>
  <c r="Y54"/>
  <c r="Y56"/>
  <c r="Y57"/>
  <c r="Y60"/>
  <c r="Y63"/>
  <c r="Y65"/>
  <c r="Y68"/>
  <c r="Y70"/>
  <c r="Y71"/>
  <c r="Y80"/>
  <c r="Y81"/>
  <c r="Y82"/>
  <c r="Z32"/>
  <c r="Z39"/>
  <c r="Z40"/>
  <c r="Z44"/>
  <c r="Z45"/>
  <c r="Z46"/>
  <c r="Z47"/>
  <c r="Z53"/>
  <c r="Z54"/>
  <c r="Z63"/>
  <c r="Z65"/>
  <c r="Z68"/>
  <c r="Z70"/>
  <c r="Z71"/>
  <c r="Z80"/>
  <c r="Z81"/>
  <c r="Z82"/>
  <c r="AA32"/>
  <c r="AA39"/>
  <c r="AA40"/>
  <c r="AA45"/>
  <c r="AA47"/>
  <c r="AA50"/>
  <c r="AA54"/>
  <c r="AA60"/>
  <c r="AA63"/>
  <c r="AA64"/>
  <c r="AA65"/>
  <c r="AA68"/>
  <c r="AA70"/>
  <c r="AA71"/>
  <c r="AA80"/>
  <c r="AA81"/>
  <c r="AA82"/>
  <c r="AB32"/>
  <c r="AB39"/>
  <c r="AB40"/>
  <c r="AB44"/>
  <c r="AB45"/>
  <c r="AB46"/>
  <c r="AB47"/>
  <c r="AB50"/>
  <c r="AB51"/>
  <c r="AB53"/>
  <c r="AB54"/>
  <c r="AB61"/>
  <c r="AB63"/>
  <c r="AB64"/>
  <c r="AB65"/>
  <c r="AB68"/>
  <c r="AB70"/>
  <c r="AB71"/>
  <c r="AB80"/>
  <c r="AB81"/>
  <c r="AB82"/>
  <c r="AC32"/>
  <c r="AC39"/>
  <c r="AC40"/>
  <c r="AC45"/>
  <c r="AC47"/>
  <c r="AC54"/>
  <c r="AC60"/>
  <c r="AC63"/>
  <c r="AC65"/>
  <c r="AC68"/>
  <c r="AC70"/>
  <c r="AC71"/>
  <c r="AC80"/>
  <c r="AC81"/>
  <c r="AC82"/>
  <c r="AD32"/>
  <c r="AD39"/>
  <c r="AD40"/>
  <c r="AD45"/>
  <c r="AD47"/>
  <c r="AD54"/>
  <c r="AD60"/>
  <c r="AD63"/>
  <c r="AD65"/>
  <c r="AD68"/>
  <c r="AD70"/>
  <c r="AD71"/>
  <c r="AD80"/>
  <c r="AD81"/>
  <c r="AD82"/>
  <c r="AE32"/>
  <c r="AE39"/>
  <c r="AE40"/>
  <c r="AE45"/>
  <c r="AE47"/>
  <c r="AE54"/>
  <c r="AE60"/>
  <c r="AE63"/>
  <c r="AE65"/>
  <c r="AE68"/>
  <c r="AE70"/>
  <c r="AE71"/>
  <c r="AE80"/>
  <c r="AE81"/>
  <c r="AE82"/>
  <c r="AF32"/>
  <c r="AF39"/>
  <c r="AF40"/>
  <c r="AF45"/>
  <c r="AF47"/>
  <c r="AF54"/>
  <c r="AF60"/>
  <c r="AF63"/>
  <c r="AF65"/>
  <c r="AF68"/>
  <c r="AF70"/>
  <c r="AF71"/>
  <c r="AF80"/>
  <c r="AF81"/>
  <c r="AF82"/>
  <c r="AG32"/>
  <c r="AG39"/>
  <c r="AG40"/>
  <c r="AG42"/>
  <c r="AG44"/>
  <c r="AG45"/>
  <c r="AG46"/>
  <c r="AG47"/>
  <c r="AG50"/>
  <c r="AG51"/>
  <c r="AG53"/>
  <c r="AG54"/>
  <c r="AG63"/>
  <c r="AG64"/>
  <c r="AG65"/>
  <c r="AG66"/>
  <c r="AG68"/>
  <c r="AG70"/>
  <c r="AG71"/>
  <c r="AG80"/>
  <c r="AG81"/>
  <c r="AG82"/>
  <c r="AH32"/>
  <c r="AH39"/>
  <c r="AH40"/>
  <c r="AH44"/>
  <c r="AH45"/>
  <c r="AH46"/>
  <c r="AH47"/>
  <c r="AH50"/>
  <c r="AH53"/>
  <c r="AH54"/>
  <c r="AH60"/>
  <c r="AH63"/>
  <c r="AH64"/>
  <c r="AH65"/>
  <c r="AH68"/>
  <c r="AH70"/>
  <c r="AH71"/>
  <c r="AH80"/>
  <c r="AH81"/>
  <c r="AH82"/>
  <c r="AI32"/>
  <c r="AI39"/>
  <c r="AI40"/>
  <c r="AI45"/>
  <c r="AI47"/>
  <c r="AI54"/>
  <c r="AI60"/>
  <c r="AI63"/>
  <c r="AI65"/>
  <c r="AI68"/>
  <c r="AI70"/>
  <c r="AI71"/>
  <c r="AI80"/>
  <c r="AI81"/>
  <c r="AI82"/>
  <c r="AK32"/>
  <c r="AK39"/>
  <c r="AK40"/>
  <c r="AK45"/>
  <c r="AK47"/>
  <c r="AK54"/>
  <c r="AK60"/>
  <c r="AK63"/>
  <c r="AK65"/>
  <c r="AK68"/>
  <c r="AK70"/>
  <c r="AK71"/>
  <c r="AK80"/>
  <c r="AK81"/>
  <c r="AK82"/>
  <c r="AL32"/>
  <c r="AL39"/>
  <c r="AL40"/>
  <c r="AL45"/>
  <c r="AL47"/>
  <c r="AL54"/>
  <c r="AL60"/>
  <c r="AL63"/>
  <c r="AL65"/>
  <c r="AL68"/>
  <c r="AL70"/>
  <c r="AL71"/>
  <c r="AL80"/>
  <c r="AL81"/>
  <c r="AL82"/>
  <c r="AM32"/>
  <c r="AM39"/>
  <c r="AM40"/>
  <c r="AM45"/>
  <c r="AM47"/>
  <c r="AM54"/>
  <c r="AM60"/>
  <c r="AM63"/>
  <c r="AM65"/>
  <c r="AM68"/>
  <c r="AM70"/>
  <c r="AM71"/>
  <c r="AM80"/>
  <c r="AM81"/>
  <c r="AM82"/>
  <c r="AN32"/>
  <c r="AN39"/>
  <c r="AN40"/>
  <c r="AN45"/>
  <c r="AN47"/>
  <c r="AN54"/>
  <c r="AN60"/>
  <c r="AN63"/>
  <c r="AN65"/>
  <c r="AN68"/>
  <c r="AN70"/>
  <c r="AN71"/>
  <c r="AN80"/>
  <c r="AN81"/>
  <c r="AN82"/>
  <c r="AO32"/>
  <c r="AO39"/>
  <c r="AO40"/>
  <c r="AO45"/>
  <c r="AO47"/>
  <c r="AO54"/>
  <c r="AO60"/>
  <c r="AO63"/>
  <c r="AO65"/>
  <c r="AO68"/>
  <c r="AO70"/>
  <c r="AO71"/>
  <c r="AO80"/>
  <c r="AO81"/>
  <c r="AO82"/>
  <c r="AP32"/>
  <c r="AP39"/>
  <c r="AP40"/>
  <c r="AP45"/>
  <c r="AP47"/>
  <c r="AP54"/>
  <c r="AP60"/>
  <c r="AP63"/>
  <c r="AP65"/>
  <c r="AP68"/>
  <c r="AP70"/>
  <c r="AP71"/>
  <c r="AP80"/>
  <c r="AP81"/>
  <c r="AP82"/>
  <c r="AQ32"/>
  <c r="AQ39"/>
  <c r="AQ40"/>
  <c r="AQ45"/>
  <c r="AQ47"/>
  <c r="AQ54"/>
  <c r="AQ63"/>
  <c r="AQ64"/>
  <c r="AQ65"/>
  <c r="AQ68"/>
  <c r="AQ70"/>
  <c r="AQ71"/>
  <c r="AQ80"/>
  <c r="AQ81"/>
  <c r="AQ82"/>
  <c r="AR32"/>
  <c r="AR39"/>
  <c r="AR40"/>
  <c r="AR44"/>
  <c r="AR45"/>
  <c r="AR46"/>
  <c r="AR47"/>
  <c r="AR54"/>
  <c r="AR60"/>
  <c r="AR63"/>
  <c r="AR65"/>
  <c r="AR68"/>
  <c r="AR70"/>
  <c r="AR71"/>
  <c r="AR80"/>
  <c r="AR81"/>
  <c r="AR82"/>
  <c r="AS32"/>
  <c r="AS39"/>
  <c r="AS40"/>
  <c r="AS45"/>
  <c r="AS47"/>
  <c r="AS54"/>
  <c r="AS60"/>
  <c r="AS63"/>
  <c r="AS65"/>
  <c r="AS68"/>
  <c r="AS70"/>
  <c r="AS71"/>
  <c r="AS74"/>
  <c r="AS80"/>
  <c r="AS81"/>
  <c r="AS82"/>
  <c r="AT32"/>
  <c r="AT33"/>
  <c r="AT34"/>
  <c r="AT35"/>
  <c r="AT36"/>
  <c r="AT37"/>
  <c r="AT38"/>
  <c r="AT39"/>
  <c r="AT40"/>
  <c r="AT45"/>
  <c r="AT46"/>
  <c r="AT47"/>
  <c r="AT50"/>
  <c r="AT51"/>
  <c r="AT52"/>
  <c r="AT53"/>
  <c r="AT54"/>
  <c r="AT55"/>
  <c r="AT56"/>
  <c r="AT57"/>
  <c r="AT60"/>
  <c r="AT61"/>
  <c r="AT63"/>
  <c r="AT64"/>
  <c r="AT65"/>
  <c r="AT66"/>
  <c r="AT67"/>
  <c r="AT68"/>
  <c r="AT69"/>
  <c r="AT70"/>
  <c r="AT71"/>
  <c r="AT80"/>
  <c r="AT81"/>
  <c r="AT82"/>
  <c r="AU32"/>
  <c r="AU39"/>
  <c r="AU40"/>
  <c r="AU45"/>
  <c r="AU47"/>
  <c r="AU54"/>
  <c r="AU60"/>
  <c r="AU63"/>
  <c r="AU65"/>
  <c r="AU68"/>
  <c r="AU70"/>
  <c r="AU71"/>
  <c r="AU74"/>
  <c r="AU80"/>
  <c r="AU81"/>
  <c r="AU82"/>
  <c r="AV82"/>
  <c r="C95" i="50"/>
  <c r="B32" i="49"/>
  <c r="C32"/>
  <c r="D32"/>
  <c r="E32"/>
  <c r="F32"/>
  <c r="G32"/>
  <c r="H32"/>
  <c r="I31"/>
  <c r="I32"/>
  <c r="J32"/>
  <c r="B39"/>
  <c r="C39"/>
  <c r="D39"/>
  <c r="E39"/>
  <c r="F39"/>
  <c r="G39"/>
  <c r="H39"/>
  <c r="I39"/>
  <c r="J39"/>
  <c r="J40"/>
  <c r="B45"/>
  <c r="C45"/>
  <c r="D45"/>
  <c r="E45"/>
  <c r="F45"/>
  <c r="G45"/>
  <c r="H45"/>
  <c r="I45"/>
  <c r="J45"/>
  <c r="J46"/>
  <c r="J47"/>
  <c r="B52"/>
  <c r="C52"/>
  <c r="D52"/>
  <c r="E52"/>
  <c r="F52"/>
  <c r="G52"/>
  <c r="H52"/>
  <c r="I52"/>
  <c r="J52"/>
  <c r="J53"/>
  <c r="J54"/>
  <c r="J55"/>
  <c r="B58"/>
  <c r="C58"/>
  <c r="D58"/>
  <c r="E58"/>
  <c r="F58"/>
  <c r="G58"/>
  <c r="H58"/>
  <c r="I58"/>
  <c r="J58"/>
  <c r="B61"/>
  <c r="C61"/>
  <c r="D61"/>
  <c r="E61"/>
  <c r="F61"/>
  <c r="G61"/>
  <c r="H61"/>
  <c r="I59"/>
  <c r="I60"/>
  <c r="I61"/>
  <c r="J61"/>
  <c r="I62"/>
  <c r="J62"/>
  <c r="J63"/>
  <c r="B68"/>
  <c r="C68"/>
  <c r="D68"/>
  <c r="E68"/>
  <c r="F68"/>
  <c r="G68"/>
  <c r="H68"/>
  <c r="I66"/>
  <c r="I68"/>
  <c r="J68"/>
  <c r="J69"/>
  <c r="J70"/>
  <c r="I40"/>
  <c r="I47"/>
  <c r="I63"/>
  <c r="I71"/>
  <c r="J71"/>
  <c r="J72"/>
  <c r="J73"/>
  <c r="B74"/>
  <c r="C74"/>
  <c r="D74"/>
  <c r="E74"/>
  <c r="F74"/>
  <c r="G74"/>
  <c r="H74"/>
  <c r="I74"/>
  <c r="J74"/>
  <c r="J75"/>
  <c r="J76"/>
  <c r="J77"/>
  <c r="J78"/>
  <c r="J79"/>
  <c r="J81"/>
  <c r="J82"/>
  <c r="K32"/>
  <c r="L32"/>
  <c r="K39"/>
  <c r="L39"/>
  <c r="L40"/>
  <c r="K45"/>
  <c r="L45"/>
  <c r="L46"/>
  <c r="L47"/>
  <c r="K52"/>
  <c r="L52"/>
  <c r="L53"/>
  <c r="L54"/>
  <c r="L55"/>
  <c r="K58"/>
  <c r="L58"/>
  <c r="K59"/>
  <c r="K61"/>
  <c r="L61"/>
  <c r="L62"/>
  <c r="L63"/>
  <c r="K68"/>
  <c r="L68"/>
  <c r="L69"/>
  <c r="L70"/>
  <c r="L71"/>
  <c r="K80"/>
  <c r="L80"/>
  <c r="L81"/>
  <c r="L82"/>
  <c r="N32"/>
  <c r="N39"/>
  <c r="N40"/>
  <c r="N45"/>
  <c r="N47"/>
  <c r="N52"/>
  <c r="N58"/>
  <c r="N61"/>
  <c r="N63"/>
  <c r="N68"/>
  <c r="N70"/>
  <c r="N80"/>
  <c r="N81"/>
  <c r="N82"/>
  <c r="U32"/>
  <c r="U39"/>
  <c r="U40"/>
  <c r="U45"/>
  <c r="U47"/>
  <c r="U52"/>
  <c r="U58"/>
  <c r="U61"/>
  <c r="U63"/>
  <c r="U68"/>
  <c r="U70"/>
  <c r="U80"/>
  <c r="U81"/>
  <c r="U82"/>
  <c r="V32"/>
  <c r="V39"/>
  <c r="V40"/>
  <c r="V45"/>
  <c r="V47"/>
  <c r="V52"/>
  <c r="V58"/>
  <c r="V61"/>
  <c r="V63"/>
  <c r="V68"/>
  <c r="V70"/>
  <c r="V80"/>
  <c r="V81"/>
  <c r="V82"/>
  <c r="O32"/>
  <c r="P32"/>
  <c r="Q32"/>
  <c r="R32"/>
  <c r="T32"/>
  <c r="O39"/>
  <c r="P39"/>
  <c r="Q39"/>
  <c r="R39"/>
  <c r="T39"/>
  <c r="T40"/>
  <c r="O45"/>
  <c r="P45"/>
  <c r="Q45"/>
  <c r="R45"/>
  <c r="T45"/>
  <c r="T46"/>
  <c r="T47"/>
  <c r="O52"/>
  <c r="P52"/>
  <c r="Q52"/>
  <c r="R52"/>
  <c r="T52"/>
  <c r="T53"/>
  <c r="T54"/>
  <c r="T55"/>
  <c r="O58"/>
  <c r="P58"/>
  <c r="Q58"/>
  <c r="R58"/>
  <c r="T58"/>
  <c r="O61"/>
  <c r="P61"/>
  <c r="Q61"/>
  <c r="R61"/>
  <c r="T61"/>
  <c r="T62"/>
  <c r="T63"/>
  <c r="O68"/>
  <c r="P68"/>
  <c r="Q68"/>
  <c r="R68"/>
  <c r="S68"/>
  <c r="T68"/>
  <c r="T69"/>
  <c r="T70"/>
  <c r="T71"/>
  <c r="S72"/>
  <c r="T72"/>
  <c r="T73"/>
  <c r="O74"/>
  <c r="P74"/>
  <c r="Q74"/>
  <c r="R74"/>
  <c r="S74"/>
  <c r="T74"/>
  <c r="T75"/>
  <c r="T76"/>
  <c r="T77"/>
  <c r="T78"/>
  <c r="T79"/>
  <c r="O80"/>
  <c r="P80"/>
  <c r="Q80"/>
  <c r="R80"/>
  <c r="S80"/>
  <c r="T80"/>
  <c r="T81"/>
  <c r="T82"/>
  <c r="M32"/>
  <c r="M34"/>
  <c r="M38"/>
  <c r="M39"/>
  <c r="M40"/>
  <c r="M42"/>
  <c r="M44"/>
  <c r="M45"/>
  <c r="M46"/>
  <c r="M47"/>
  <c r="M48"/>
  <c r="M49"/>
  <c r="M51"/>
  <c r="M52"/>
  <c r="M55"/>
  <c r="M58"/>
  <c r="M61"/>
  <c r="M63"/>
  <c r="M68"/>
  <c r="M70"/>
  <c r="M71"/>
  <c r="M80"/>
  <c r="M81"/>
  <c r="M82"/>
  <c r="W82"/>
  <c r="C47" i="52"/>
  <c r="C95" i="8"/>
  <c r="B14" i="36"/>
  <c r="B19"/>
  <c r="B26"/>
  <c r="C14"/>
  <c r="C19"/>
  <c r="C26"/>
  <c r="D15"/>
  <c r="D19"/>
  <c r="D26"/>
  <c r="E26"/>
  <c r="F19"/>
  <c r="F20"/>
  <c r="F21"/>
  <c r="F22"/>
  <c r="F23"/>
  <c r="F24"/>
  <c r="F25"/>
  <c r="F26"/>
  <c r="G26"/>
  <c r="H26"/>
  <c r="I26"/>
  <c r="J19"/>
  <c r="J25"/>
  <c r="J26"/>
  <c r="K26"/>
  <c r="L26"/>
  <c r="M19"/>
  <c r="M26"/>
  <c r="N19"/>
  <c r="N26"/>
  <c r="O19"/>
  <c r="O26"/>
  <c r="P19"/>
  <c r="P26"/>
  <c r="Q19"/>
  <c r="Q26"/>
  <c r="R19"/>
  <c r="R26"/>
  <c r="S19"/>
  <c r="S26"/>
  <c r="T26"/>
  <c r="U19"/>
  <c r="U20"/>
  <c r="U21"/>
  <c r="U22"/>
  <c r="U23"/>
  <c r="U24"/>
  <c r="U25"/>
  <c r="U26"/>
  <c r="W26"/>
  <c r="X26"/>
  <c r="Y26"/>
  <c r="Z4"/>
  <c r="Z19"/>
  <c r="Z26"/>
  <c r="AA4"/>
  <c r="AA19"/>
  <c r="AA26"/>
  <c r="AB4"/>
  <c r="AB19"/>
  <c r="AB26"/>
  <c r="AC26"/>
  <c r="AD26"/>
  <c r="AE26"/>
  <c r="AF26"/>
  <c r="AG4"/>
  <c r="AG19"/>
  <c r="AG25"/>
  <c r="AG26"/>
  <c r="AH4"/>
  <c r="AH5"/>
  <c r="AH19"/>
  <c r="AH26"/>
  <c r="AI19"/>
  <c r="AI25"/>
  <c r="AI26"/>
  <c r="AK26"/>
  <c r="AL26"/>
  <c r="AM26"/>
  <c r="AN19"/>
  <c r="AN25"/>
  <c r="AN26"/>
  <c r="AO26"/>
  <c r="AP26"/>
  <c r="AQ4"/>
  <c r="AQ19"/>
  <c r="AQ26"/>
  <c r="AR26"/>
  <c r="AS26"/>
  <c r="AT26"/>
  <c r="AU26"/>
  <c r="AV26"/>
  <c r="C94" i="50"/>
  <c r="B4" i="49"/>
  <c r="B19"/>
  <c r="C4"/>
  <c r="C19"/>
  <c r="D4"/>
  <c r="D19"/>
  <c r="E4"/>
  <c r="E19"/>
  <c r="F4"/>
  <c r="F12"/>
  <c r="F19"/>
  <c r="G4"/>
  <c r="G19"/>
  <c r="I5"/>
  <c r="I19"/>
  <c r="J19"/>
  <c r="J20"/>
  <c r="J21"/>
  <c r="J22"/>
  <c r="J23"/>
  <c r="J24"/>
  <c r="I25"/>
  <c r="J25"/>
  <c r="J26"/>
  <c r="K26"/>
  <c r="L26"/>
  <c r="N26"/>
  <c r="U26"/>
  <c r="V26"/>
  <c r="O4"/>
  <c r="O19"/>
  <c r="O26"/>
  <c r="P4"/>
  <c r="P19"/>
  <c r="P26"/>
  <c r="Q15"/>
  <c r="Q19"/>
  <c r="Q26"/>
  <c r="R4"/>
  <c r="R19"/>
  <c r="R26"/>
  <c r="S5"/>
  <c r="S19"/>
  <c r="S25"/>
  <c r="S26"/>
  <c r="T26"/>
  <c r="M26"/>
  <c r="W26"/>
  <c r="C46" i="52"/>
  <c r="C94" i="8"/>
  <c r="F7" i="9" s="1"/>
  <c r="B13" i="36"/>
  <c r="B17"/>
  <c r="B18"/>
  <c r="C13"/>
  <c r="C17"/>
  <c r="C18"/>
  <c r="D13"/>
  <c r="D17"/>
  <c r="D18"/>
  <c r="E13"/>
  <c r="E17"/>
  <c r="E18"/>
  <c r="F4"/>
  <c r="F5"/>
  <c r="F6"/>
  <c r="F7"/>
  <c r="F8"/>
  <c r="F9"/>
  <c r="F10"/>
  <c r="F11"/>
  <c r="F12"/>
  <c r="F13"/>
  <c r="F14"/>
  <c r="F15"/>
  <c r="F16"/>
  <c r="F17"/>
  <c r="F18"/>
  <c r="G13"/>
  <c r="G17"/>
  <c r="G18"/>
  <c r="H13"/>
  <c r="H17"/>
  <c r="H18"/>
  <c r="I13"/>
  <c r="I17"/>
  <c r="I18"/>
  <c r="J13"/>
  <c r="J17"/>
  <c r="J18"/>
  <c r="K13"/>
  <c r="K17"/>
  <c r="K18"/>
  <c r="L13"/>
  <c r="L17"/>
  <c r="L18"/>
  <c r="M4"/>
  <c r="M13"/>
  <c r="M17"/>
  <c r="M18"/>
  <c r="N4"/>
  <c r="N13"/>
  <c r="N17"/>
  <c r="N18"/>
  <c r="O4"/>
  <c r="O13"/>
  <c r="O17"/>
  <c r="O18"/>
  <c r="P4"/>
  <c r="P13"/>
  <c r="P17"/>
  <c r="P18"/>
  <c r="Q4"/>
  <c r="Q13"/>
  <c r="Q17"/>
  <c r="Q18"/>
  <c r="R4"/>
  <c r="R13"/>
  <c r="R17"/>
  <c r="R18"/>
  <c r="S13"/>
  <c r="S17"/>
  <c r="S18"/>
  <c r="T13"/>
  <c r="T17"/>
  <c r="T18"/>
  <c r="U4"/>
  <c r="U5"/>
  <c r="U6"/>
  <c r="U7"/>
  <c r="U8"/>
  <c r="U9"/>
  <c r="U10"/>
  <c r="U11"/>
  <c r="U12"/>
  <c r="U13"/>
  <c r="U14"/>
  <c r="U15"/>
  <c r="U16"/>
  <c r="U17"/>
  <c r="U18"/>
  <c r="W13"/>
  <c r="W17"/>
  <c r="W18"/>
  <c r="X13"/>
  <c r="X17"/>
  <c r="X18"/>
  <c r="Y13"/>
  <c r="Y17"/>
  <c r="Y18"/>
  <c r="Z13"/>
  <c r="Z17"/>
  <c r="Z18"/>
  <c r="AA13"/>
  <c r="AA17"/>
  <c r="AA18"/>
  <c r="AB13"/>
  <c r="AB17"/>
  <c r="AB18"/>
  <c r="AC13"/>
  <c r="AC17"/>
  <c r="AC18"/>
  <c r="AD13"/>
  <c r="AD17"/>
  <c r="AD18"/>
  <c r="AE13"/>
  <c r="AE17"/>
  <c r="AE18"/>
  <c r="AF13"/>
  <c r="AF17"/>
  <c r="AF18"/>
  <c r="AG10"/>
  <c r="AG13"/>
  <c r="AG17"/>
  <c r="AG18"/>
  <c r="AH13"/>
  <c r="AH17"/>
  <c r="AH18"/>
  <c r="AI13"/>
  <c r="AI17"/>
  <c r="AI18"/>
  <c r="AK13"/>
  <c r="AK17"/>
  <c r="AK18"/>
  <c r="AL13"/>
  <c r="AL17"/>
  <c r="AL18"/>
  <c r="AM13"/>
  <c r="AM17"/>
  <c r="AM18"/>
  <c r="AN13"/>
  <c r="AN17"/>
  <c r="AN18"/>
  <c r="AO13"/>
  <c r="AO17"/>
  <c r="AO18"/>
  <c r="AP13"/>
  <c r="AP17"/>
  <c r="AP18"/>
  <c r="AQ13"/>
  <c r="AQ17"/>
  <c r="AQ18"/>
  <c r="AR13"/>
  <c r="AR17"/>
  <c r="AR18"/>
  <c r="AS13"/>
  <c r="AS17"/>
  <c r="AS18"/>
  <c r="AT18"/>
  <c r="AU13"/>
  <c r="AU17"/>
  <c r="AU18"/>
  <c r="AV18"/>
  <c r="C93" i="50"/>
  <c r="J4" i="49"/>
  <c r="J5"/>
  <c r="J6"/>
  <c r="J7"/>
  <c r="J8"/>
  <c r="J9"/>
  <c r="E10"/>
  <c r="J10"/>
  <c r="E11"/>
  <c r="J11"/>
  <c r="J12"/>
  <c r="J13"/>
  <c r="J14"/>
  <c r="J15"/>
  <c r="J16"/>
  <c r="J17"/>
  <c r="J18"/>
  <c r="K13"/>
  <c r="K17"/>
  <c r="K18"/>
  <c r="L18"/>
  <c r="N13"/>
  <c r="N17"/>
  <c r="N18"/>
  <c r="U13"/>
  <c r="U17"/>
  <c r="U18"/>
  <c r="V13"/>
  <c r="V17"/>
  <c r="V18"/>
  <c r="O13"/>
  <c r="O17"/>
  <c r="O18"/>
  <c r="P13"/>
  <c r="P17"/>
  <c r="P18"/>
  <c r="Q13"/>
  <c r="Q17"/>
  <c r="Q18"/>
  <c r="R13"/>
  <c r="R17"/>
  <c r="R18"/>
  <c r="S13"/>
  <c r="S17"/>
  <c r="S18"/>
  <c r="T18"/>
  <c r="M13"/>
  <c r="M17"/>
  <c r="M18"/>
  <c r="W18"/>
  <c r="C45" i="52"/>
  <c r="C93" i="8"/>
  <c r="C66"/>
  <c r="F181" i="36"/>
  <c r="I181"/>
  <c r="U181"/>
  <c r="AV181"/>
  <c r="C50" i="50"/>
  <c r="C50" i="8"/>
  <c r="C48" s="1"/>
  <c r="F146" i="36"/>
  <c r="G146"/>
  <c r="U146"/>
  <c r="AV146"/>
  <c r="C27" i="50"/>
  <c r="C27" i="8"/>
  <c r="F125" i="36"/>
  <c r="U125"/>
  <c r="AV125"/>
  <c r="C136" i="50"/>
  <c r="C135"/>
  <c r="C52" i="52"/>
  <c r="C53"/>
  <c r="C50"/>
  <c r="J188" i="49"/>
  <c r="W188"/>
  <c r="C39" i="52"/>
  <c r="C54"/>
  <c r="D50"/>
  <c r="C49"/>
  <c r="D44"/>
  <c r="D55"/>
  <c r="C44"/>
  <c r="D36"/>
  <c r="C36"/>
  <c r="D29"/>
  <c r="C29"/>
  <c r="D25"/>
  <c r="C25"/>
  <c r="D19"/>
  <c r="D8"/>
  <c r="D35"/>
  <c r="D40"/>
  <c r="C19"/>
  <c r="E151" i="50"/>
  <c r="E150"/>
  <c r="D140"/>
  <c r="C140"/>
  <c r="D135"/>
  <c r="D130"/>
  <c r="C130"/>
  <c r="D126"/>
  <c r="D145"/>
  <c r="C126"/>
  <c r="D122"/>
  <c r="C122"/>
  <c r="D113"/>
  <c r="C113"/>
  <c r="B118" i="36"/>
  <c r="C118"/>
  <c r="D118"/>
  <c r="E118"/>
  <c r="F114"/>
  <c r="F115"/>
  <c r="F116"/>
  <c r="F117"/>
  <c r="F118"/>
  <c r="G114"/>
  <c r="G117"/>
  <c r="G118"/>
  <c r="H118"/>
  <c r="I118"/>
  <c r="J118"/>
  <c r="K118"/>
  <c r="L118"/>
  <c r="M118"/>
  <c r="N118"/>
  <c r="O118"/>
  <c r="P118"/>
  <c r="Q118"/>
  <c r="R118"/>
  <c r="S118"/>
  <c r="T118"/>
  <c r="U114"/>
  <c r="U115"/>
  <c r="U116"/>
  <c r="U117"/>
  <c r="U118"/>
  <c r="W114"/>
  <c r="W117"/>
  <c r="W118"/>
  <c r="X118"/>
  <c r="Y118"/>
  <c r="Z118"/>
  <c r="AA118"/>
  <c r="AB118"/>
  <c r="AC118"/>
  <c r="AD118"/>
  <c r="AE118"/>
  <c r="AF118"/>
  <c r="AG118"/>
  <c r="AH118"/>
  <c r="AI118"/>
  <c r="AK118"/>
  <c r="AL118"/>
  <c r="AM118"/>
  <c r="AN118"/>
  <c r="AO118"/>
  <c r="AP118"/>
  <c r="AQ118"/>
  <c r="AR118"/>
  <c r="AT118"/>
  <c r="AU118"/>
  <c r="AV118"/>
  <c r="C111" i="50"/>
  <c r="C108"/>
  <c r="D108"/>
  <c r="C97"/>
  <c r="D97"/>
  <c r="D92"/>
  <c r="D125"/>
  <c r="D146"/>
  <c r="D81"/>
  <c r="C81"/>
  <c r="D77"/>
  <c r="D65"/>
  <c r="D69"/>
  <c r="D74"/>
  <c r="D87"/>
  <c r="D151"/>
  <c r="C77"/>
  <c r="C74"/>
  <c r="C69"/>
  <c r="C65"/>
  <c r="C87"/>
  <c r="D59"/>
  <c r="C59"/>
  <c r="D54"/>
  <c r="C54"/>
  <c r="D48"/>
  <c r="C48"/>
  <c r="F172" i="36"/>
  <c r="U172"/>
  <c r="AV172"/>
  <c r="C42" i="50"/>
  <c r="D37"/>
  <c r="C30"/>
  <c r="D29"/>
  <c r="C29"/>
  <c r="D22"/>
  <c r="C22"/>
  <c r="D15"/>
  <c r="C15"/>
  <c r="D8"/>
  <c r="D64"/>
  <c r="Q202" i="49"/>
  <c r="G202"/>
  <c r="C202"/>
  <c r="B202"/>
  <c r="Q199"/>
  <c r="B196"/>
  <c r="R191"/>
  <c r="Q191"/>
  <c r="P191"/>
  <c r="O191"/>
  <c r="M190"/>
  <c r="J187"/>
  <c r="W187"/>
  <c r="V186"/>
  <c r="U186"/>
  <c r="T186"/>
  <c r="N186"/>
  <c r="M186"/>
  <c r="L186"/>
  <c r="I186"/>
  <c r="H186"/>
  <c r="F186"/>
  <c r="D186"/>
  <c r="C186"/>
  <c r="B186"/>
  <c r="J185"/>
  <c r="V184"/>
  <c r="U184"/>
  <c r="T184"/>
  <c r="N184"/>
  <c r="N189"/>
  <c r="N190"/>
  <c r="M184"/>
  <c r="L184"/>
  <c r="I184"/>
  <c r="I189"/>
  <c r="I190"/>
  <c r="H184"/>
  <c r="H189"/>
  <c r="H190"/>
  <c r="F184"/>
  <c r="F189"/>
  <c r="F190"/>
  <c r="D184"/>
  <c r="D189"/>
  <c r="D190"/>
  <c r="C184"/>
  <c r="B184"/>
  <c r="B189"/>
  <c r="B190"/>
  <c r="J183"/>
  <c r="V182"/>
  <c r="U182"/>
  <c r="T182"/>
  <c r="N182"/>
  <c r="M182"/>
  <c r="L182"/>
  <c r="J182"/>
  <c r="I182"/>
  <c r="H182"/>
  <c r="F182"/>
  <c r="D182"/>
  <c r="C182"/>
  <c r="B182"/>
  <c r="W181"/>
  <c r="V180"/>
  <c r="U180"/>
  <c r="T180"/>
  <c r="N180"/>
  <c r="M180"/>
  <c r="L180"/>
  <c r="I180"/>
  <c r="H180"/>
  <c r="F180"/>
  <c r="D180"/>
  <c r="C180"/>
  <c r="B180"/>
  <c r="J179"/>
  <c r="J180"/>
  <c r="V178"/>
  <c r="U178"/>
  <c r="T178"/>
  <c r="N178"/>
  <c r="M178"/>
  <c r="L178"/>
  <c r="I178"/>
  <c r="H178"/>
  <c r="F178"/>
  <c r="D178"/>
  <c r="C178"/>
  <c r="B178"/>
  <c r="J177"/>
  <c r="W177"/>
  <c r="J176"/>
  <c r="W176"/>
  <c r="V174"/>
  <c r="U174"/>
  <c r="N174"/>
  <c r="M174"/>
  <c r="L174"/>
  <c r="I174"/>
  <c r="H174"/>
  <c r="F174"/>
  <c r="D174"/>
  <c r="C174"/>
  <c r="B174"/>
  <c r="T174"/>
  <c r="V168"/>
  <c r="V175"/>
  <c r="U168"/>
  <c r="U175"/>
  <c r="T168"/>
  <c r="N168"/>
  <c r="N175"/>
  <c r="M168"/>
  <c r="L168"/>
  <c r="W168"/>
  <c r="I168"/>
  <c r="I175"/>
  <c r="H168"/>
  <c r="H175"/>
  <c r="F168"/>
  <c r="F175"/>
  <c r="D168"/>
  <c r="C168"/>
  <c r="C175"/>
  <c r="B168"/>
  <c r="W167"/>
  <c r="J166"/>
  <c r="W166"/>
  <c r="V163"/>
  <c r="U163"/>
  <c r="T163"/>
  <c r="N163"/>
  <c r="M163"/>
  <c r="L163"/>
  <c r="I163"/>
  <c r="H163"/>
  <c r="F163"/>
  <c r="D163"/>
  <c r="C163"/>
  <c r="B163"/>
  <c r="J162"/>
  <c r="W162"/>
  <c r="J161"/>
  <c r="W161"/>
  <c r="J160"/>
  <c r="W160"/>
  <c r="J159"/>
  <c r="W159"/>
  <c r="J158"/>
  <c r="W158"/>
  <c r="V156"/>
  <c r="U156"/>
  <c r="T156"/>
  <c r="N156"/>
  <c r="M156"/>
  <c r="L156"/>
  <c r="I156"/>
  <c r="H156"/>
  <c r="F156"/>
  <c r="D156"/>
  <c r="C156"/>
  <c r="B156"/>
  <c r="J155"/>
  <c r="W155"/>
  <c r="J156"/>
  <c r="V154"/>
  <c r="U154"/>
  <c r="T154"/>
  <c r="N154"/>
  <c r="M154"/>
  <c r="M151"/>
  <c r="M157"/>
  <c r="L154"/>
  <c r="I154"/>
  <c r="H154"/>
  <c r="F154"/>
  <c r="D154"/>
  <c r="C154"/>
  <c r="B154"/>
  <c r="J153"/>
  <c r="W153"/>
  <c r="J152"/>
  <c r="W152"/>
  <c r="V151"/>
  <c r="U151"/>
  <c r="T151"/>
  <c r="T157"/>
  <c r="N151"/>
  <c r="N157"/>
  <c r="L151"/>
  <c r="I151"/>
  <c r="I157"/>
  <c r="H151"/>
  <c r="H157"/>
  <c r="F151"/>
  <c r="D151"/>
  <c r="D157"/>
  <c r="D148"/>
  <c r="D164"/>
  <c r="C151"/>
  <c r="B151"/>
  <c r="B157"/>
  <c r="J150"/>
  <c r="W150"/>
  <c r="J149"/>
  <c r="V148"/>
  <c r="U148"/>
  <c r="T148"/>
  <c r="N148"/>
  <c r="M148"/>
  <c r="L148"/>
  <c r="I148"/>
  <c r="H148"/>
  <c r="F148"/>
  <c r="C148"/>
  <c r="B148"/>
  <c r="J147"/>
  <c r="W147"/>
  <c r="J146"/>
  <c r="W146"/>
  <c r="J144"/>
  <c r="W144"/>
  <c r="V143"/>
  <c r="V145"/>
  <c r="U143"/>
  <c r="U145"/>
  <c r="T143"/>
  <c r="T145"/>
  <c r="N143"/>
  <c r="N145"/>
  <c r="M143"/>
  <c r="M145"/>
  <c r="L143"/>
  <c r="L145"/>
  <c r="I143"/>
  <c r="I145"/>
  <c r="H143"/>
  <c r="H145"/>
  <c r="F143"/>
  <c r="F145"/>
  <c r="D143"/>
  <c r="D145"/>
  <c r="C143"/>
  <c r="C145"/>
  <c r="B143"/>
  <c r="B145"/>
  <c r="J142"/>
  <c r="W142"/>
  <c r="J141"/>
  <c r="W141"/>
  <c r="J140"/>
  <c r="W140"/>
  <c r="J138"/>
  <c r="W138"/>
  <c r="V137"/>
  <c r="U137"/>
  <c r="T137"/>
  <c r="N137"/>
  <c r="M137"/>
  <c r="L137"/>
  <c r="I137"/>
  <c r="H137"/>
  <c r="F137"/>
  <c r="D137"/>
  <c r="C137"/>
  <c r="B137"/>
  <c r="J136"/>
  <c r="V135"/>
  <c r="V139"/>
  <c r="U135"/>
  <c r="T135"/>
  <c r="T139"/>
  <c r="N135"/>
  <c r="N139"/>
  <c r="M135"/>
  <c r="L135"/>
  <c r="L139"/>
  <c r="I135"/>
  <c r="I139"/>
  <c r="H135"/>
  <c r="H139"/>
  <c r="F135"/>
  <c r="F139"/>
  <c r="D135"/>
  <c r="C135"/>
  <c r="C139"/>
  <c r="B135"/>
  <c r="B139"/>
  <c r="J134"/>
  <c r="W134"/>
  <c r="J133"/>
  <c r="W133"/>
  <c r="J132"/>
  <c r="W132"/>
  <c r="J131"/>
  <c r="W131"/>
  <c r="J130"/>
  <c r="W130"/>
  <c r="J129"/>
  <c r="J123"/>
  <c r="J122"/>
  <c r="W122"/>
  <c r="V121"/>
  <c r="V124"/>
  <c r="V125"/>
  <c r="U121"/>
  <c r="U124"/>
  <c r="U125"/>
  <c r="T121"/>
  <c r="T124"/>
  <c r="T125"/>
  <c r="N121"/>
  <c r="N124"/>
  <c r="N125"/>
  <c r="M121"/>
  <c r="M124"/>
  <c r="M125"/>
  <c r="L121"/>
  <c r="L124"/>
  <c r="L125"/>
  <c r="I121"/>
  <c r="I124"/>
  <c r="I125"/>
  <c r="H121"/>
  <c r="H124"/>
  <c r="H125"/>
  <c r="F121"/>
  <c r="F124"/>
  <c r="F125"/>
  <c r="D121"/>
  <c r="D124"/>
  <c r="D125"/>
  <c r="C121"/>
  <c r="C124"/>
  <c r="C125"/>
  <c r="B121"/>
  <c r="B124"/>
  <c r="B125"/>
  <c r="J120"/>
  <c r="W120"/>
  <c r="V119"/>
  <c r="U119"/>
  <c r="T119"/>
  <c r="N119"/>
  <c r="M119"/>
  <c r="L119"/>
  <c r="I119"/>
  <c r="H119"/>
  <c r="F119"/>
  <c r="D119"/>
  <c r="C119"/>
  <c r="B119"/>
  <c r="J118"/>
  <c r="W118"/>
  <c r="J117"/>
  <c r="J119"/>
  <c r="W119"/>
  <c r="V116"/>
  <c r="U116"/>
  <c r="N116"/>
  <c r="M116"/>
  <c r="L116"/>
  <c r="I116"/>
  <c r="H116"/>
  <c r="F116"/>
  <c r="D116"/>
  <c r="C116"/>
  <c r="B116"/>
  <c r="T115"/>
  <c r="J115"/>
  <c r="T114"/>
  <c r="J114"/>
  <c r="T113"/>
  <c r="J113"/>
  <c r="T112"/>
  <c r="J112"/>
  <c r="I111"/>
  <c r="H111"/>
  <c r="F111"/>
  <c r="D111"/>
  <c r="C111"/>
  <c r="B111"/>
  <c r="S111"/>
  <c r="W107"/>
  <c r="J104"/>
  <c r="J103"/>
  <c r="W103"/>
  <c r="J102"/>
  <c r="W102"/>
  <c r="V101"/>
  <c r="V105"/>
  <c r="U101"/>
  <c r="U105"/>
  <c r="T101"/>
  <c r="T105"/>
  <c r="N101"/>
  <c r="N105"/>
  <c r="M101"/>
  <c r="M105"/>
  <c r="L101"/>
  <c r="I101"/>
  <c r="I105"/>
  <c r="H101"/>
  <c r="H105"/>
  <c r="F101"/>
  <c r="F105"/>
  <c r="D101"/>
  <c r="D105"/>
  <c r="C101"/>
  <c r="C105"/>
  <c r="B101"/>
  <c r="B105"/>
  <c r="J100"/>
  <c r="W100"/>
  <c r="W99"/>
  <c r="J98"/>
  <c r="W98"/>
  <c r="V96"/>
  <c r="U96"/>
  <c r="T96"/>
  <c r="N96"/>
  <c r="M96"/>
  <c r="L96"/>
  <c r="I96"/>
  <c r="H96"/>
  <c r="F96"/>
  <c r="D96"/>
  <c r="C96"/>
  <c r="B96"/>
  <c r="J95"/>
  <c r="W95"/>
  <c r="J94"/>
  <c r="W94"/>
  <c r="J93"/>
  <c r="W93"/>
  <c r="V92"/>
  <c r="U92"/>
  <c r="T92"/>
  <c r="N92"/>
  <c r="M92"/>
  <c r="L92"/>
  <c r="I92"/>
  <c r="H92"/>
  <c r="F92"/>
  <c r="D92"/>
  <c r="C92"/>
  <c r="B92"/>
  <c r="J91"/>
  <c r="W91"/>
  <c r="T90"/>
  <c r="N90"/>
  <c r="M90"/>
  <c r="L90"/>
  <c r="I90"/>
  <c r="H90"/>
  <c r="F90"/>
  <c r="D90"/>
  <c r="C90"/>
  <c r="B90"/>
  <c r="J89"/>
  <c r="T88"/>
  <c r="N88"/>
  <c r="M88"/>
  <c r="L88"/>
  <c r="I88"/>
  <c r="H88"/>
  <c r="F88"/>
  <c r="D88"/>
  <c r="C88"/>
  <c r="B88"/>
  <c r="J87"/>
  <c r="W87"/>
  <c r="T86"/>
  <c r="N86"/>
  <c r="M86"/>
  <c r="L86"/>
  <c r="I86"/>
  <c r="H86"/>
  <c r="F86"/>
  <c r="D86"/>
  <c r="C86"/>
  <c r="B86"/>
  <c r="J85"/>
  <c r="U84"/>
  <c r="U97"/>
  <c r="T84"/>
  <c r="N84"/>
  <c r="M84"/>
  <c r="L84"/>
  <c r="I84"/>
  <c r="H84"/>
  <c r="F84"/>
  <c r="F97"/>
  <c r="D84"/>
  <c r="D97"/>
  <c r="C84"/>
  <c r="B84"/>
  <c r="J83"/>
  <c r="I80"/>
  <c r="H80"/>
  <c r="G80"/>
  <c r="F80"/>
  <c r="E80"/>
  <c r="D80"/>
  <c r="C80"/>
  <c r="B80"/>
  <c r="L79"/>
  <c r="W79"/>
  <c r="L78"/>
  <c r="L77"/>
  <c r="L76"/>
  <c r="L75"/>
  <c r="V74"/>
  <c r="U74"/>
  <c r="R81"/>
  <c r="Q81"/>
  <c r="N74"/>
  <c r="M74"/>
  <c r="K74"/>
  <c r="L74"/>
  <c r="K81"/>
  <c r="G81"/>
  <c r="F81"/>
  <c r="E81"/>
  <c r="L73"/>
  <c r="L72"/>
  <c r="S70"/>
  <c r="R70"/>
  <c r="Q70"/>
  <c r="P70"/>
  <c r="O70"/>
  <c r="K70"/>
  <c r="H70"/>
  <c r="G70"/>
  <c r="F70"/>
  <c r="E70"/>
  <c r="D70"/>
  <c r="C70"/>
  <c r="B70"/>
  <c r="T67"/>
  <c r="L67"/>
  <c r="J67"/>
  <c r="T66"/>
  <c r="L66"/>
  <c r="T60"/>
  <c r="L60"/>
  <c r="T59"/>
  <c r="J59"/>
  <c r="T57"/>
  <c r="L57"/>
  <c r="J57"/>
  <c r="T56"/>
  <c r="L56"/>
  <c r="J56"/>
  <c r="R63"/>
  <c r="P63"/>
  <c r="G63"/>
  <c r="C63"/>
  <c r="T51"/>
  <c r="L51"/>
  <c r="J51"/>
  <c r="T50"/>
  <c r="L50"/>
  <c r="J50"/>
  <c r="T49"/>
  <c r="L49"/>
  <c r="J49"/>
  <c r="T48"/>
  <c r="L48"/>
  <c r="J48"/>
  <c r="R47"/>
  <c r="Q47"/>
  <c r="H47"/>
  <c r="G47"/>
  <c r="F47"/>
  <c r="E47"/>
  <c r="D47"/>
  <c r="C47"/>
  <c r="B47"/>
  <c r="T44"/>
  <c r="L44"/>
  <c r="J44"/>
  <c r="T43"/>
  <c r="L43"/>
  <c r="J43"/>
  <c r="L42"/>
  <c r="J42"/>
  <c r="T41"/>
  <c r="L41"/>
  <c r="J41"/>
  <c r="T38"/>
  <c r="L38"/>
  <c r="J38"/>
  <c r="T37"/>
  <c r="L37"/>
  <c r="J37"/>
  <c r="T36"/>
  <c r="L36"/>
  <c r="J36"/>
  <c r="T35"/>
  <c r="L35"/>
  <c r="J35"/>
  <c r="T34"/>
  <c r="L34"/>
  <c r="J34"/>
  <c r="L33"/>
  <c r="J33"/>
  <c r="P40"/>
  <c r="H40"/>
  <c r="G40"/>
  <c r="F40"/>
  <c r="E40"/>
  <c r="C40"/>
  <c r="T31"/>
  <c r="L31"/>
  <c r="J31"/>
  <c r="T30"/>
  <c r="L30"/>
  <c r="J30"/>
  <c r="T29"/>
  <c r="L29"/>
  <c r="J29"/>
  <c r="T28"/>
  <c r="L28"/>
  <c r="J28"/>
  <c r="T27"/>
  <c r="L27"/>
  <c r="J27"/>
  <c r="H26"/>
  <c r="T25"/>
  <c r="L25"/>
  <c r="T24"/>
  <c r="L24"/>
  <c r="T23"/>
  <c r="L23"/>
  <c r="T22"/>
  <c r="L22"/>
  <c r="T21"/>
  <c r="L21"/>
  <c r="T20"/>
  <c r="L20"/>
  <c r="L19"/>
  <c r="I17"/>
  <c r="H17"/>
  <c r="F17"/>
  <c r="D17"/>
  <c r="C17"/>
  <c r="B17"/>
  <c r="T16"/>
  <c r="L16"/>
  <c r="T15"/>
  <c r="L15"/>
  <c r="T14"/>
  <c r="L14"/>
  <c r="H13"/>
  <c r="T12"/>
  <c r="L12"/>
  <c r="T11"/>
  <c r="W11"/>
  <c r="T10"/>
  <c r="L10"/>
  <c r="T9"/>
  <c r="W9"/>
  <c r="T8"/>
  <c r="L8"/>
  <c r="T7"/>
  <c r="L7"/>
  <c r="W7"/>
  <c r="T6"/>
  <c r="L6"/>
  <c r="L5"/>
  <c r="L4"/>
  <c r="G26"/>
  <c r="E26"/>
  <c r="C26"/>
  <c r="L17"/>
  <c r="T33"/>
  <c r="J92"/>
  <c r="W92"/>
  <c r="T4"/>
  <c r="F63"/>
  <c r="W117"/>
  <c r="K47"/>
  <c r="O47"/>
  <c r="J151"/>
  <c r="W151"/>
  <c r="W149"/>
  <c r="C189"/>
  <c r="C190"/>
  <c r="G205"/>
  <c r="H164"/>
  <c r="J178"/>
  <c r="W178"/>
  <c r="AV150" i="36"/>
  <c r="C11" i="27"/>
  <c r="AT156" i="36"/>
  <c r="AT152"/>
  <c r="AT149"/>
  <c r="AV101"/>
  <c r="AV186"/>
  <c r="W191"/>
  <c r="W189"/>
  <c r="W187"/>
  <c r="W185"/>
  <c r="W183"/>
  <c r="W177"/>
  <c r="W178"/>
  <c r="W159"/>
  <c r="W145"/>
  <c r="W147"/>
  <c r="W139"/>
  <c r="W137"/>
  <c r="W141"/>
  <c r="W123"/>
  <c r="W126"/>
  <c r="W127"/>
  <c r="W121"/>
  <c r="W103"/>
  <c r="W107"/>
  <c r="W74"/>
  <c r="I183"/>
  <c r="AU123"/>
  <c r="AU126"/>
  <c r="AU127"/>
  <c r="AQ73"/>
  <c r="AQ74"/>
  <c r="AG177"/>
  <c r="AG178"/>
  <c r="AN191"/>
  <c r="AN189"/>
  <c r="AN187"/>
  <c r="AN185"/>
  <c r="AN183"/>
  <c r="AN177"/>
  <c r="AN178"/>
  <c r="AN159"/>
  <c r="AN145"/>
  <c r="AN147"/>
  <c r="AN139"/>
  <c r="AN137"/>
  <c r="AN141"/>
  <c r="AN123"/>
  <c r="AN126"/>
  <c r="AN127"/>
  <c r="AN121"/>
  <c r="AN103"/>
  <c r="AN107"/>
  <c r="AN74"/>
  <c r="AM191"/>
  <c r="AM189"/>
  <c r="AM194"/>
  <c r="AM195"/>
  <c r="AM187"/>
  <c r="AM185"/>
  <c r="AM183"/>
  <c r="AM177"/>
  <c r="AM159"/>
  <c r="AM145"/>
  <c r="AM147"/>
  <c r="AM139"/>
  <c r="AM137"/>
  <c r="AM141"/>
  <c r="AM123"/>
  <c r="AM126"/>
  <c r="AM127"/>
  <c r="AM121"/>
  <c r="AM103"/>
  <c r="AM107"/>
  <c r="AM74"/>
  <c r="AL191"/>
  <c r="AL189"/>
  <c r="AL187"/>
  <c r="AL185"/>
  <c r="AL183"/>
  <c r="AL177"/>
  <c r="AL178"/>
  <c r="AL159"/>
  <c r="AL160"/>
  <c r="AL167"/>
  <c r="AL145"/>
  <c r="AL147"/>
  <c r="AL139"/>
  <c r="AL137"/>
  <c r="AL123"/>
  <c r="AL126"/>
  <c r="AL127"/>
  <c r="AL121"/>
  <c r="AL103"/>
  <c r="AL74"/>
  <c r="D191"/>
  <c r="D189"/>
  <c r="D187"/>
  <c r="D185"/>
  <c r="D183"/>
  <c r="D177"/>
  <c r="D178"/>
  <c r="D159"/>
  <c r="D160"/>
  <c r="D167"/>
  <c r="D145"/>
  <c r="D147"/>
  <c r="D139"/>
  <c r="D137"/>
  <c r="D123"/>
  <c r="D126"/>
  <c r="D127"/>
  <c r="D121"/>
  <c r="D103"/>
  <c r="D107"/>
  <c r="R191"/>
  <c r="R189"/>
  <c r="R187"/>
  <c r="R185"/>
  <c r="R183"/>
  <c r="R177"/>
  <c r="R159"/>
  <c r="R160"/>
  <c r="R145"/>
  <c r="R147"/>
  <c r="R139"/>
  <c r="R137"/>
  <c r="R123"/>
  <c r="R126"/>
  <c r="R127"/>
  <c r="R121"/>
  <c r="R103"/>
  <c r="R107"/>
  <c r="Q191"/>
  <c r="Q189"/>
  <c r="Q187"/>
  <c r="Q185"/>
  <c r="Q183"/>
  <c r="Q177"/>
  <c r="Q159"/>
  <c r="Q145"/>
  <c r="Q147"/>
  <c r="Q139"/>
  <c r="Q137"/>
  <c r="Q123"/>
  <c r="Q126"/>
  <c r="Q127"/>
  <c r="Q121"/>
  <c r="Q103"/>
  <c r="Q107"/>
  <c r="P191"/>
  <c r="P189"/>
  <c r="P187"/>
  <c r="P185"/>
  <c r="P183"/>
  <c r="P177"/>
  <c r="P159"/>
  <c r="P145"/>
  <c r="P147"/>
  <c r="P139"/>
  <c r="P137"/>
  <c r="P123"/>
  <c r="P126"/>
  <c r="P127"/>
  <c r="P121"/>
  <c r="P103"/>
  <c r="P107"/>
  <c r="O191"/>
  <c r="O189"/>
  <c r="O187"/>
  <c r="O185"/>
  <c r="O183"/>
  <c r="O177"/>
  <c r="O159"/>
  <c r="O145"/>
  <c r="O147"/>
  <c r="O139"/>
  <c r="O137"/>
  <c r="O123"/>
  <c r="O126"/>
  <c r="O127"/>
  <c r="O121"/>
  <c r="O103"/>
  <c r="O107"/>
  <c r="AG191"/>
  <c r="AF191"/>
  <c r="AG189"/>
  <c r="AG194"/>
  <c r="AG195"/>
  <c r="AF189"/>
  <c r="AF194"/>
  <c r="AF195"/>
  <c r="AG187"/>
  <c r="AF187"/>
  <c r="AG185"/>
  <c r="AF185"/>
  <c r="AG183"/>
  <c r="AF183"/>
  <c r="AF177"/>
  <c r="AF178"/>
  <c r="AG159"/>
  <c r="AF159"/>
  <c r="AF160"/>
  <c r="AG145"/>
  <c r="AG147"/>
  <c r="AF145"/>
  <c r="AF147"/>
  <c r="AG139"/>
  <c r="AF139"/>
  <c r="AG137"/>
  <c r="AF137"/>
  <c r="AF141"/>
  <c r="AG123"/>
  <c r="AG126"/>
  <c r="AG127"/>
  <c r="AF123"/>
  <c r="AF126"/>
  <c r="AF127"/>
  <c r="AG121"/>
  <c r="AF121"/>
  <c r="AG103"/>
  <c r="AG107"/>
  <c r="AF103"/>
  <c r="AF107"/>
  <c r="AG74"/>
  <c r="AF74"/>
  <c r="AI191"/>
  <c r="AH191"/>
  <c r="AI189"/>
  <c r="AI194"/>
  <c r="AI195"/>
  <c r="AH189"/>
  <c r="AI187"/>
  <c r="AH187"/>
  <c r="AI185"/>
  <c r="AH185"/>
  <c r="AI183"/>
  <c r="AH183"/>
  <c r="AI177"/>
  <c r="AH177"/>
  <c r="AI159"/>
  <c r="AH159"/>
  <c r="AI145"/>
  <c r="AI147"/>
  <c r="AH145"/>
  <c r="AH147"/>
  <c r="AI139"/>
  <c r="AH139"/>
  <c r="AI137"/>
  <c r="AH137"/>
  <c r="AI123"/>
  <c r="AI126"/>
  <c r="AI127"/>
  <c r="AH123"/>
  <c r="AH126"/>
  <c r="AH127"/>
  <c r="AI121"/>
  <c r="AH121"/>
  <c r="AI103"/>
  <c r="AI107"/>
  <c r="AH103"/>
  <c r="AH107"/>
  <c r="AI74"/>
  <c r="AH74"/>
  <c r="AK191"/>
  <c r="AK189"/>
  <c r="AK187"/>
  <c r="AK185"/>
  <c r="AK183"/>
  <c r="AK177"/>
  <c r="AK159"/>
  <c r="AK145"/>
  <c r="AK147"/>
  <c r="AK139"/>
  <c r="AK137"/>
  <c r="AK123"/>
  <c r="AK126"/>
  <c r="AK127"/>
  <c r="AK121"/>
  <c r="AK103"/>
  <c r="AK107"/>
  <c r="AK74"/>
  <c r="N191"/>
  <c r="N189"/>
  <c r="N194"/>
  <c r="N195"/>
  <c r="N187"/>
  <c r="N185"/>
  <c r="N183"/>
  <c r="N177"/>
  <c r="N178"/>
  <c r="N159"/>
  <c r="N145"/>
  <c r="N147"/>
  <c r="N139"/>
  <c r="N137"/>
  <c r="N123"/>
  <c r="N126"/>
  <c r="N127"/>
  <c r="N121"/>
  <c r="N103"/>
  <c r="N107"/>
  <c r="S191"/>
  <c r="S189"/>
  <c r="S187"/>
  <c r="S185"/>
  <c r="S183"/>
  <c r="S177"/>
  <c r="S159"/>
  <c r="S145"/>
  <c r="S147"/>
  <c r="S139"/>
  <c r="S137"/>
  <c r="S123"/>
  <c r="S126"/>
  <c r="S127"/>
  <c r="S121"/>
  <c r="S103"/>
  <c r="S107"/>
  <c r="K137"/>
  <c r="D26" i="35"/>
  <c r="E26"/>
  <c r="F26"/>
  <c r="G26"/>
  <c r="H26"/>
  <c r="I26"/>
  <c r="J26"/>
  <c r="K26"/>
  <c r="L26"/>
  <c r="M26"/>
  <c r="N26"/>
  <c r="C26"/>
  <c r="D25"/>
  <c r="E25"/>
  <c r="F25"/>
  <c r="G25"/>
  <c r="H25"/>
  <c r="I25"/>
  <c r="J25"/>
  <c r="K25"/>
  <c r="L25"/>
  <c r="M25"/>
  <c r="N25"/>
  <c r="D24"/>
  <c r="E24"/>
  <c r="F24"/>
  <c r="G24"/>
  <c r="H24"/>
  <c r="I24"/>
  <c r="J24"/>
  <c r="K24"/>
  <c r="L24"/>
  <c r="M24"/>
  <c r="N24"/>
  <c r="D23"/>
  <c r="E23"/>
  <c r="F23"/>
  <c r="G23"/>
  <c r="H23"/>
  <c r="I23"/>
  <c r="J23"/>
  <c r="K23"/>
  <c r="L23"/>
  <c r="M23"/>
  <c r="N23"/>
  <c r="D22"/>
  <c r="E22"/>
  <c r="F22"/>
  <c r="G22"/>
  <c r="H22"/>
  <c r="I22"/>
  <c r="J22"/>
  <c r="K22"/>
  <c r="L22"/>
  <c r="M22"/>
  <c r="N22"/>
  <c r="D21"/>
  <c r="E21"/>
  <c r="F21"/>
  <c r="G21"/>
  <c r="H21"/>
  <c r="I21"/>
  <c r="J21"/>
  <c r="K21"/>
  <c r="L21"/>
  <c r="M21"/>
  <c r="N21"/>
  <c r="D19"/>
  <c r="E19"/>
  <c r="F19"/>
  <c r="G19"/>
  <c r="H19"/>
  <c r="I19"/>
  <c r="J19"/>
  <c r="K19"/>
  <c r="L19"/>
  <c r="M19"/>
  <c r="N19"/>
  <c r="D18"/>
  <c r="E18"/>
  <c r="F18"/>
  <c r="G18"/>
  <c r="H18"/>
  <c r="I18"/>
  <c r="J18"/>
  <c r="K18"/>
  <c r="L18"/>
  <c r="M18"/>
  <c r="N18"/>
  <c r="C19"/>
  <c r="C20"/>
  <c r="C21"/>
  <c r="C22"/>
  <c r="C23"/>
  <c r="C24"/>
  <c r="C25"/>
  <c r="C18"/>
  <c r="D15"/>
  <c r="E15"/>
  <c r="F15"/>
  <c r="G15"/>
  <c r="H15"/>
  <c r="I15"/>
  <c r="J15"/>
  <c r="K15"/>
  <c r="L15"/>
  <c r="M15"/>
  <c r="N15"/>
  <c r="D14"/>
  <c r="E14"/>
  <c r="F14"/>
  <c r="G14"/>
  <c r="H14"/>
  <c r="I14"/>
  <c r="J14"/>
  <c r="K14"/>
  <c r="L14"/>
  <c r="M14"/>
  <c r="N14"/>
  <c r="D13"/>
  <c r="E13"/>
  <c r="F13"/>
  <c r="G13"/>
  <c r="H13"/>
  <c r="I13"/>
  <c r="J13"/>
  <c r="K13"/>
  <c r="L13"/>
  <c r="M13"/>
  <c r="N13"/>
  <c r="D12"/>
  <c r="E12"/>
  <c r="F12"/>
  <c r="G12"/>
  <c r="H12"/>
  <c r="I12"/>
  <c r="J12"/>
  <c r="K12"/>
  <c r="L12"/>
  <c r="M12"/>
  <c r="N12"/>
  <c r="D11"/>
  <c r="E11"/>
  <c r="F11"/>
  <c r="G11"/>
  <c r="H11"/>
  <c r="I11"/>
  <c r="J11"/>
  <c r="K11"/>
  <c r="L11"/>
  <c r="M11"/>
  <c r="N11"/>
  <c r="D10"/>
  <c r="E10"/>
  <c r="F10"/>
  <c r="G10"/>
  <c r="H10"/>
  <c r="I10"/>
  <c r="J10"/>
  <c r="K10"/>
  <c r="L10"/>
  <c r="M10"/>
  <c r="N10"/>
  <c r="D9"/>
  <c r="E9"/>
  <c r="F9"/>
  <c r="G9"/>
  <c r="H9"/>
  <c r="J9"/>
  <c r="K9"/>
  <c r="L9"/>
  <c r="M9"/>
  <c r="N9"/>
  <c r="N8"/>
  <c r="D8"/>
  <c r="E8"/>
  <c r="F8"/>
  <c r="G8"/>
  <c r="H8"/>
  <c r="I8"/>
  <c r="J8"/>
  <c r="K8"/>
  <c r="L8"/>
  <c r="M8"/>
  <c r="C8"/>
  <c r="C9"/>
  <c r="C10"/>
  <c r="C11"/>
  <c r="C12"/>
  <c r="C13"/>
  <c r="C14"/>
  <c r="D7"/>
  <c r="E7"/>
  <c r="F7"/>
  <c r="G7"/>
  <c r="H7"/>
  <c r="I7"/>
  <c r="J7"/>
  <c r="K7"/>
  <c r="L7"/>
  <c r="M7"/>
  <c r="N7"/>
  <c r="C7"/>
  <c r="E12" i="18"/>
  <c r="I12" s="1"/>
  <c r="I10"/>
  <c r="E151" i="47"/>
  <c r="E150"/>
  <c r="D140"/>
  <c r="C140"/>
  <c r="D135"/>
  <c r="D130"/>
  <c r="C130"/>
  <c r="C145" s="1"/>
  <c r="D126"/>
  <c r="D122"/>
  <c r="D113"/>
  <c r="D108"/>
  <c r="C113"/>
  <c r="D97"/>
  <c r="D92"/>
  <c r="D125"/>
  <c r="D81"/>
  <c r="C81"/>
  <c r="D77"/>
  <c r="C77"/>
  <c r="D74"/>
  <c r="D69"/>
  <c r="C69"/>
  <c r="D65"/>
  <c r="C65"/>
  <c r="D59"/>
  <c r="C59"/>
  <c r="D54"/>
  <c r="C54"/>
  <c r="D48"/>
  <c r="C48"/>
  <c r="D37"/>
  <c r="D29"/>
  <c r="D22"/>
  <c r="D15"/>
  <c r="D8"/>
  <c r="AV109" i="36"/>
  <c r="AT159"/>
  <c r="AQ191"/>
  <c r="AQ189"/>
  <c r="AQ187"/>
  <c r="AQ185"/>
  <c r="AQ183"/>
  <c r="AQ177"/>
  <c r="AQ159"/>
  <c r="AQ160"/>
  <c r="AQ167"/>
  <c r="AQ145"/>
  <c r="AQ147"/>
  <c r="AQ139"/>
  <c r="AQ137"/>
  <c r="AQ123"/>
  <c r="AQ126"/>
  <c r="AQ127"/>
  <c r="AQ121"/>
  <c r="AQ103"/>
  <c r="AQ107"/>
  <c r="F174"/>
  <c r="C191"/>
  <c r="C189"/>
  <c r="C187"/>
  <c r="C185"/>
  <c r="C183"/>
  <c r="C177"/>
  <c r="C159"/>
  <c r="C145"/>
  <c r="C147"/>
  <c r="C139"/>
  <c r="C137"/>
  <c r="C123"/>
  <c r="C126"/>
  <c r="C127"/>
  <c r="C121"/>
  <c r="C103"/>
  <c r="C107"/>
  <c r="I191"/>
  <c r="I189"/>
  <c r="I194"/>
  <c r="I195"/>
  <c r="I187"/>
  <c r="I185"/>
  <c r="I177"/>
  <c r="I159"/>
  <c r="I145"/>
  <c r="I147"/>
  <c r="I139"/>
  <c r="I137"/>
  <c r="I123"/>
  <c r="I126"/>
  <c r="I127"/>
  <c r="I121"/>
  <c r="I103"/>
  <c r="I107"/>
  <c r="I74"/>
  <c r="J191"/>
  <c r="J189"/>
  <c r="J187"/>
  <c r="J185"/>
  <c r="J183"/>
  <c r="J177"/>
  <c r="J159"/>
  <c r="J145"/>
  <c r="J147"/>
  <c r="J139"/>
  <c r="J137"/>
  <c r="J123"/>
  <c r="J126"/>
  <c r="J127"/>
  <c r="J121"/>
  <c r="J103"/>
  <c r="J107"/>
  <c r="J74"/>
  <c r="U174"/>
  <c r="U193"/>
  <c r="U192"/>
  <c r="T191"/>
  <c r="M191"/>
  <c r="U191"/>
  <c r="T189"/>
  <c r="M189"/>
  <c r="U188"/>
  <c r="U189"/>
  <c r="U187"/>
  <c r="T187"/>
  <c r="M187"/>
  <c r="T185"/>
  <c r="M185"/>
  <c r="U185"/>
  <c r="T183"/>
  <c r="M183"/>
  <c r="U182"/>
  <c r="T177"/>
  <c r="M177"/>
  <c r="U176"/>
  <c r="U177"/>
  <c r="U170"/>
  <c r="T159"/>
  <c r="M159"/>
  <c r="U158"/>
  <c r="U159"/>
  <c r="T145"/>
  <c r="T147"/>
  <c r="M145"/>
  <c r="M147"/>
  <c r="U144"/>
  <c r="U143"/>
  <c r="U142"/>
  <c r="T139"/>
  <c r="M139"/>
  <c r="U138"/>
  <c r="U139"/>
  <c r="T137"/>
  <c r="M137"/>
  <c r="M141"/>
  <c r="U136"/>
  <c r="U135"/>
  <c r="T123"/>
  <c r="T126"/>
  <c r="T127"/>
  <c r="M123"/>
  <c r="M126"/>
  <c r="M127"/>
  <c r="U123"/>
  <c r="U126"/>
  <c r="U127"/>
  <c r="T121"/>
  <c r="M121"/>
  <c r="U120"/>
  <c r="T103"/>
  <c r="T107"/>
  <c r="M103"/>
  <c r="M107"/>
  <c r="U102"/>
  <c r="U100"/>
  <c r="AU191"/>
  <c r="AU189"/>
  <c r="AU187"/>
  <c r="AU185"/>
  <c r="AU183"/>
  <c r="AU177"/>
  <c r="AU159"/>
  <c r="AU145"/>
  <c r="AU147"/>
  <c r="AU139"/>
  <c r="AU137"/>
  <c r="AU121"/>
  <c r="AU103"/>
  <c r="AU107"/>
  <c r="AR191"/>
  <c r="AR189"/>
  <c r="AR187"/>
  <c r="AR185"/>
  <c r="AR183"/>
  <c r="AR177"/>
  <c r="AR159"/>
  <c r="AR145"/>
  <c r="AR147"/>
  <c r="AR139"/>
  <c r="AR137"/>
  <c r="AR141"/>
  <c r="AR123"/>
  <c r="AR126"/>
  <c r="AR127"/>
  <c r="AR121"/>
  <c r="AR103"/>
  <c r="AR107"/>
  <c r="AR74"/>
  <c r="AP191"/>
  <c r="AP189"/>
  <c r="AP187"/>
  <c r="AP185"/>
  <c r="AP183"/>
  <c r="AP177"/>
  <c r="AP159"/>
  <c r="AP145"/>
  <c r="AP147"/>
  <c r="AP139"/>
  <c r="AP137"/>
  <c r="AP123"/>
  <c r="AP126"/>
  <c r="AP127"/>
  <c r="AP121"/>
  <c r="AP103"/>
  <c r="AP107"/>
  <c r="AP74"/>
  <c r="AO191"/>
  <c r="AO189"/>
  <c r="AO187"/>
  <c r="AO185"/>
  <c r="AO183"/>
  <c r="AO177"/>
  <c r="AO159"/>
  <c r="AO145"/>
  <c r="AO147"/>
  <c r="AO139"/>
  <c r="AO137"/>
  <c r="AO123"/>
  <c r="AO126"/>
  <c r="AO127"/>
  <c r="AO121"/>
  <c r="AO103"/>
  <c r="AO107"/>
  <c r="AO74"/>
  <c r="AT13"/>
  <c r="AT17"/>
  <c r="AC191"/>
  <c r="AC189"/>
  <c r="AC187"/>
  <c r="AC185"/>
  <c r="AC183"/>
  <c r="AC177"/>
  <c r="AC178"/>
  <c r="AC159"/>
  <c r="AC160"/>
  <c r="AC145"/>
  <c r="AC147"/>
  <c r="AC139"/>
  <c r="AC137"/>
  <c r="AC123"/>
  <c r="AC126"/>
  <c r="AC127"/>
  <c r="AC121"/>
  <c r="AC103"/>
  <c r="AC107"/>
  <c r="AC74"/>
  <c r="AE191"/>
  <c r="AE189"/>
  <c r="AE187"/>
  <c r="AE185"/>
  <c r="AE183"/>
  <c r="AE177"/>
  <c r="AE159"/>
  <c r="AE145"/>
  <c r="AE147"/>
  <c r="AE139"/>
  <c r="AE137"/>
  <c r="AE123"/>
  <c r="AE126"/>
  <c r="AE127"/>
  <c r="AE121"/>
  <c r="AE103"/>
  <c r="AE107"/>
  <c r="AE74"/>
  <c r="AD191"/>
  <c r="AD189"/>
  <c r="AD194"/>
  <c r="AD195"/>
  <c r="AD187"/>
  <c r="AD185"/>
  <c r="AD183"/>
  <c r="AD177"/>
  <c r="AD159"/>
  <c r="AD160"/>
  <c r="AD145"/>
  <c r="AD147"/>
  <c r="AD139"/>
  <c r="AD137"/>
  <c r="AD123"/>
  <c r="AD126"/>
  <c r="AD127"/>
  <c r="AD121"/>
  <c r="AD103"/>
  <c r="AD107"/>
  <c r="AD74"/>
  <c r="AB191"/>
  <c r="AB189"/>
  <c r="AB187"/>
  <c r="AB185"/>
  <c r="AB183"/>
  <c r="AB177"/>
  <c r="AB159"/>
  <c r="AB145"/>
  <c r="AB147"/>
  <c r="AB139"/>
  <c r="AB137"/>
  <c r="AB123"/>
  <c r="AB126"/>
  <c r="AB127"/>
  <c r="AB121"/>
  <c r="AB103"/>
  <c r="AB107"/>
  <c r="AB74"/>
  <c r="AA191"/>
  <c r="AA189"/>
  <c r="AA187"/>
  <c r="AA185"/>
  <c r="AA183"/>
  <c r="AA177"/>
  <c r="AA159"/>
  <c r="AA145"/>
  <c r="AA147"/>
  <c r="AA139"/>
  <c r="AA137"/>
  <c r="AA123"/>
  <c r="AA126"/>
  <c r="AA127"/>
  <c r="AA121"/>
  <c r="AA103"/>
  <c r="AA107"/>
  <c r="AA74"/>
  <c r="Z191"/>
  <c r="Z189"/>
  <c r="Z187"/>
  <c r="Z185"/>
  <c r="Z183"/>
  <c r="Z177"/>
  <c r="Z159"/>
  <c r="Z145"/>
  <c r="Z147"/>
  <c r="Z139"/>
  <c r="Z137"/>
  <c r="Z123"/>
  <c r="Z126"/>
  <c r="Z127"/>
  <c r="Z121"/>
  <c r="Z103"/>
  <c r="Z107"/>
  <c r="Z74"/>
  <c r="Y191"/>
  <c r="Y189"/>
  <c r="Y187"/>
  <c r="Y185"/>
  <c r="Y183"/>
  <c r="Y177"/>
  <c r="Y159"/>
  <c r="Y145"/>
  <c r="Y147"/>
  <c r="Y139"/>
  <c r="Y137"/>
  <c r="Y123"/>
  <c r="Y126"/>
  <c r="Y127"/>
  <c r="Y121"/>
  <c r="Y103"/>
  <c r="Y107"/>
  <c r="Y74"/>
  <c r="X191"/>
  <c r="X189"/>
  <c r="X187"/>
  <c r="X185"/>
  <c r="X183"/>
  <c r="X177"/>
  <c r="X159"/>
  <c r="X145"/>
  <c r="X147"/>
  <c r="X139"/>
  <c r="X137"/>
  <c r="X123"/>
  <c r="X126"/>
  <c r="X127"/>
  <c r="X121"/>
  <c r="X103"/>
  <c r="X107"/>
  <c r="X74"/>
  <c r="L189"/>
  <c r="L187"/>
  <c r="L185"/>
  <c r="L183"/>
  <c r="L177"/>
  <c r="L159"/>
  <c r="L145"/>
  <c r="L147"/>
  <c r="L139"/>
  <c r="L137"/>
  <c r="L123"/>
  <c r="L126"/>
  <c r="L127"/>
  <c r="L121"/>
  <c r="L103"/>
  <c r="L107"/>
  <c r="L74"/>
  <c r="K191"/>
  <c r="K189"/>
  <c r="K187"/>
  <c r="K185"/>
  <c r="K183"/>
  <c r="K177"/>
  <c r="K159"/>
  <c r="K145"/>
  <c r="K147"/>
  <c r="K139"/>
  <c r="K123"/>
  <c r="K126"/>
  <c r="K127"/>
  <c r="K121"/>
  <c r="K103"/>
  <c r="K107"/>
  <c r="K74"/>
  <c r="H191"/>
  <c r="H189"/>
  <c r="H187"/>
  <c r="H185"/>
  <c r="H183"/>
  <c r="H177"/>
  <c r="H159"/>
  <c r="H145"/>
  <c r="H147"/>
  <c r="H139"/>
  <c r="H137"/>
  <c r="H123"/>
  <c r="H126"/>
  <c r="H127"/>
  <c r="H121"/>
  <c r="H103"/>
  <c r="H107"/>
  <c r="H74"/>
  <c r="G191"/>
  <c r="G189"/>
  <c r="G187"/>
  <c r="G185"/>
  <c r="G183"/>
  <c r="G177"/>
  <c r="G159"/>
  <c r="G145"/>
  <c r="G139"/>
  <c r="G137"/>
  <c r="G123"/>
  <c r="G121"/>
  <c r="G103"/>
  <c r="G107"/>
  <c r="G74"/>
  <c r="B103"/>
  <c r="B107"/>
  <c r="B121"/>
  <c r="B123"/>
  <c r="B137"/>
  <c r="B139"/>
  <c r="B145"/>
  <c r="B159"/>
  <c r="B177"/>
  <c r="B183"/>
  <c r="B185"/>
  <c r="B187"/>
  <c r="B189"/>
  <c r="B191"/>
  <c r="E151" i="46"/>
  <c r="E150"/>
  <c r="D140"/>
  <c r="C140"/>
  <c r="D135"/>
  <c r="C135"/>
  <c r="D130"/>
  <c r="C130"/>
  <c r="D126"/>
  <c r="D145"/>
  <c r="C126"/>
  <c r="C145"/>
  <c r="D122"/>
  <c r="C122"/>
  <c r="D113"/>
  <c r="D108"/>
  <c r="C113"/>
  <c r="C108"/>
  <c r="D97"/>
  <c r="D92"/>
  <c r="C97"/>
  <c r="C92" s="1"/>
  <c r="C125" s="1"/>
  <c r="D81"/>
  <c r="C81"/>
  <c r="D77"/>
  <c r="C77"/>
  <c r="D74"/>
  <c r="C74"/>
  <c r="D69"/>
  <c r="C69"/>
  <c r="D65"/>
  <c r="D87"/>
  <c r="D151"/>
  <c r="C65"/>
  <c r="C87"/>
  <c r="D59"/>
  <c r="C59"/>
  <c r="D54"/>
  <c r="C54"/>
  <c r="D48"/>
  <c r="C48"/>
  <c r="D37"/>
  <c r="C37"/>
  <c r="D29"/>
  <c r="C29"/>
  <c r="C64" s="1"/>
  <c r="C88" s="1"/>
  <c r="D22"/>
  <c r="C22"/>
  <c r="D15"/>
  <c r="C15"/>
  <c r="D8"/>
  <c r="D64"/>
  <c r="C8"/>
  <c r="I15" i="18"/>
  <c r="E14"/>
  <c r="D14"/>
  <c r="D12"/>
  <c r="I8"/>
  <c r="I7"/>
  <c r="H6"/>
  <c r="G6"/>
  <c r="F6"/>
  <c r="E6"/>
  <c r="D6"/>
  <c r="D26" i="22"/>
  <c r="N26" i="26"/>
  <c r="M26"/>
  <c r="L26"/>
  <c r="L14"/>
  <c r="K26"/>
  <c r="J26"/>
  <c r="I26"/>
  <c r="H26"/>
  <c r="G26"/>
  <c r="F26"/>
  <c r="E26"/>
  <c r="D26"/>
  <c r="C26"/>
  <c r="O24"/>
  <c r="N14"/>
  <c r="M14"/>
  <c r="K14"/>
  <c r="K27" s="1"/>
  <c r="J14"/>
  <c r="H14"/>
  <c r="H27" s="1"/>
  <c r="G14"/>
  <c r="F14"/>
  <c r="E14"/>
  <c r="E27" s="1"/>
  <c r="D14"/>
  <c r="O20"/>
  <c r="O25"/>
  <c r="O22"/>
  <c r="O21"/>
  <c r="O19"/>
  <c r="O18"/>
  <c r="O17"/>
  <c r="O16"/>
  <c r="O9"/>
  <c r="O8"/>
  <c r="O6"/>
  <c r="O5"/>
  <c r="C16" i="20"/>
  <c r="G16" s="1"/>
  <c r="D24" i="14"/>
  <c r="B24"/>
  <c r="E11"/>
  <c r="E10"/>
  <c r="D25" i="19"/>
  <c r="B25"/>
  <c r="E22"/>
  <c r="E23"/>
  <c r="E6" i="14"/>
  <c r="E8"/>
  <c r="E9"/>
  <c r="E7"/>
  <c r="E21" i="19"/>
  <c r="E17"/>
  <c r="E16"/>
  <c r="E15"/>
  <c r="E14"/>
  <c r="E19"/>
  <c r="E18"/>
  <c r="E20"/>
  <c r="E13"/>
  <c r="E12"/>
  <c r="E11"/>
  <c r="E24"/>
  <c r="D11" i="11"/>
  <c r="C11"/>
  <c r="F6"/>
  <c r="F193" i="36"/>
  <c r="F192"/>
  <c r="AV192"/>
  <c r="AT191"/>
  <c r="E191"/>
  <c r="AT189"/>
  <c r="E189"/>
  <c r="F188"/>
  <c r="AV188"/>
  <c r="AT187"/>
  <c r="F187"/>
  <c r="E187"/>
  <c r="AT185"/>
  <c r="E185"/>
  <c r="F185"/>
  <c r="AT183"/>
  <c r="E183"/>
  <c r="F182"/>
  <c r="AT177"/>
  <c r="E177"/>
  <c r="F176"/>
  <c r="F177"/>
  <c r="AT178"/>
  <c r="F170"/>
  <c r="E159"/>
  <c r="F158"/>
  <c r="AV158"/>
  <c r="AV149"/>
  <c r="AT145"/>
  <c r="AT147"/>
  <c r="E145"/>
  <c r="E147"/>
  <c r="F144"/>
  <c r="F143"/>
  <c r="F142"/>
  <c r="C15" i="47"/>
  <c r="AT139" i="36"/>
  <c r="E139"/>
  <c r="F138"/>
  <c r="F139"/>
  <c r="AT137"/>
  <c r="AT141"/>
  <c r="E137"/>
  <c r="F136"/>
  <c r="AV136"/>
  <c r="F135"/>
  <c r="C135" i="47"/>
  <c r="AT123" i="36"/>
  <c r="AT126"/>
  <c r="AT127"/>
  <c r="E123"/>
  <c r="E126"/>
  <c r="F123"/>
  <c r="AT121"/>
  <c r="E121"/>
  <c r="F120"/>
  <c r="AV120"/>
  <c r="AV115"/>
  <c r="AT103"/>
  <c r="AT107"/>
  <c r="E103"/>
  <c r="F102"/>
  <c r="F100"/>
  <c r="AV100"/>
  <c r="AV78"/>
  <c r="AV76"/>
  <c r="AV75"/>
  <c r="AT74"/>
  <c r="AT59"/>
  <c r="AT58"/>
  <c r="AV52"/>
  <c r="AT44"/>
  <c r="AT43"/>
  <c r="AT42"/>
  <c r="AT31"/>
  <c r="AT30"/>
  <c r="AT29"/>
  <c r="AT28"/>
  <c r="AT27"/>
  <c r="AT25"/>
  <c r="AT24"/>
  <c r="AT23"/>
  <c r="AT22"/>
  <c r="AT21"/>
  <c r="AT20"/>
  <c r="AT19"/>
  <c r="AT16"/>
  <c r="AT15"/>
  <c r="AT14"/>
  <c r="AT12"/>
  <c r="AV11"/>
  <c r="AT10"/>
  <c r="AT8"/>
  <c r="AT7"/>
  <c r="AT6"/>
  <c r="AT5"/>
  <c r="AT4"/>
  <c r="D30" i="27"/>
  <c r="O23" i="26"/>
  <c r="O12"/>
  <c r="O11"/>
  <c r="O10"/>
  <c r="D19" i="9"/>
  <c r="C19"/>
  <c r="C27"/>
  <c r="C130" i="8"/>
  <c r="C21" i="10"/>
  <c r="C24"/>
  <c r="C59" i="8"/>
  <c r="C9" i="10"/>
  <c r="C8" i="9"/>
  <c r="F16" i="20"/>
  <c r="E16"/>
  <c r="D16"/>
  <c r="G14"/>
  <c r="G13"/>
  <c r="G12"/>
  <c r="G11"/>
  <c r="G10"/>
  <c r="C25" i="19"/>
  <c r="F25"/>
  <c r="I17" i="18"/>
  <c r="H16"/>
  <c r="G16"/>
  <c r="F16"/>
  <c r="E16"/>
  <c r="D16"/>
  <c r="H14"/>
  <c r="G14"/>
  <c r="F14"/>
  <c r="I14" s="1"/>
  <c r="H12"/>
  <c r="H18"/>
  <c r="G12"/>
  <c r="I11"/>
  <c r="D32" i="17"/>
  <c r="F23" i="14"/>
  <c r="F22"/>
  <c r="F21"/>
  <c r="F20"/>
  <c r="F19"/>
  <c r="F18"/>
  <c r="F17"/>
  <c r="F16"/>
  <c r="F15"/>
  <c r="F24"/>
  <c r="D11" i="12"/>
  <c r="F10" i="11"/>
  <c r="F9"/>
  <c r="F8"/>
  <c r="G30" i="10"/>
  <c r="D24"/>
  <c r="D18"/>
  <c r="D30"/>
  <c r="G17"/>
  <c r="G31"/>
  <c r="D17"/>
  <c r="G27" i="9"/>
  <c r="D27"/>
  <c r="G18"/>
  <c r="D18"/>
  <c r="D29"/>
  <c r="E151" i="8"/>
  <c r="E150"/>
  <c r="D140"/>
  <c r="D135"/>
  <c r="D130"/>
  <c r="D126"/>
  <c r="D122"/>
  <c r="D113"/>
  <c r="D108"/>
  <c r="D97"/>
  <c r="D92"/>
  <c r="D125"/>
  <c r="D81"/>
  <c r="D77"/>
  <c r="D74"/>
  <c r="D69"/>
  <c r="D65"/>
  <c r="D59"/>
  <c r="D54"/>
  <c r="D48"/>
  <c r="D37"/>
  <c r="D29"/>
  <c r="D22"/>
  <c r="D15"/>
  <c r="D8"/>
  <c r="C65"/>
  <c r="C69"/>
  <c r="C81"/>
  <c r="C140"/>
  <c r="C77"/>
  <c r="G28" i="9"/>
  <c r="D30"/>
  <c r="AK194" i="36"/>
  <c r="AK195"/>
  <c r="AE178"/>
  <c r="F191"/>
  <c r="G33" i="10"/>
  <c r="AN194" i="36"/>
  <c r="AN195"/>
  <c r="D88" i="46"/>
  <c r="AV182" i="36"/>
  <c r="M160"/>
  <c r="M167"/>
  <c r="AH160"/>
  <c r="AH167"/>
  <c r="AH194"/>
  <c r="AH195"/>
  <c r="D141"/>
  <c r="AD167"/>
  <c r="AC141"/>
  <c r="AO178"/>
  <c r="C194"/>
  <c r="C195"/>
  <c r="AS160"/>
  <c r="U145"/>
  <c r="AV174"/>
  <c r="AA178"/>
  <c r="K194"/>
  <c r="K195"/>
  <c r="AV142"/>
  <c r="Z194"/>
  <c r="Z195"/>
  <c r="AP194"/>
  <c r="AP195"/>
  <c r="AH178"/>
  <c r="D194"/>
  <c r="D195"/>
  <c r="AL194"/>
  <c r="AL195"/>
  <c r="AD141"/>
  <c r="T160"/>
  <c r="AH141"/>
  <c r="W160"/>
  <c r="W167"/>
  <c r="E141"/>
  <c r="AI141"/>
  <c r="AG141"/>
  <c r="AG160"/>
  <c r="Z141"/>
  <c r="S141"/>
  <c r="O160"/>
  <c r="O167"/>
  <c r="R141"/>
  <c r="C160"/>
  <c r="C167"/>
  <c r="Z160"/>
  <c r="Z167"/>
  <c r="AN160"/>
  <c r="AV153"/>
  <c r="C97" i="47"/>
  <c r="F121" i="36"/>
  <c r="AV95"/>
  <c r="AV110"/>
  <c r="AV41"/>
  <c r="AV112"/>
  <c r="AV55"/>
  <c r="F103"/>
  <c r="AV62"/>
  <c r="B147"/>
  <c r="P141"/>
  <c r="C126" i="8"/>
  <c r="C145" s="1"/>
  <c r="B126" i="36"/>
  <c r="AV43"/>
  <c r="I141"/>
  <c r="AB141"/>
  <c r="AE141"/>
  <c r="E194"/>
  <c r="E195"/>
  <c r="S178"/>
  <c r="AK160"/>
  <c r="AK167"/>
  <c r="AP141"/>
  <c r="O194"/>
  <c r="O195"/>
  <c r="P160"/>
  <c r="P167"/>
  <c r="AA141"/>
  <c r="AB194"/>
  <c r="AB195"/>
  <c r="AD178"/>
  <c r="AO194"/>
  <c r="AO195"/>
  <c r="O141"/>
  <c r="Q141"/>
  <c r="C12" i="27"/>
  <c r="L191" i="36"/>
  <c r="L194"/>
  <c r="L195"/>
  <c r="B141"/>
  <c r="AN167"/>
  <c r="AP178"/>
  <c r="AL107"/>
  <c r="U103"/>
  <c r="U107"/>
  <c r="AV103"/>
  <c r="C145" i="50"/>
  <c r="C151"/>
  <c r="C37"/>
  <c r="C8"/>
  <c r="C55" i="52"/>
  <c r="C8"/>
  <c r="C35"/>
  <c r="C40"/>
  <c r="D150" i="50"/>
  <c r="D88"/>
  <c r="C64"/>
  <c r="C92"/>
  <c r="C125"/>
  <c r="C146"/>
  <c r="W73" i="49"/>
  <c r="W75"/>
  <c r="I164"/>
  <c r="T164"/>
  <c r="D175"/>
  <c r="J163"/>
  <c r="J143"/>
  <c r="T42"/>
  <c r="W42"/>
  <c r="C13"/>
  <c r="C18"/>
  <c r="G82"/>
  <c r="W34"/>
  <c r="W49"/>
  <c r="C97"/>
  <c r="H97"/>
  <c r="L97"/>
  <c r="J121"/>
  <c r="J124"/>
  <c r="J174"/>
  <c r="W179"/>
  <c r="W182"/>
  <c r="T189"/>
  <c r="T190"/>
  <c r="V189"/>
  <c r="V190"/>
  <c r="U189"/>
  <c r="U190"/>
  <c r="W16"/>
  <c r="W27"/>
  <c r="W37"/>
  <c r="W43"/>
  <c r="W50"/>
  <c r="C5" i="27"/>
  <c r="AH196" i="36"/>
  <c r="AV57"/>
  <c r="AT194"/>
  <c r="AT195"/>
  <c r="T141"/>
  <c r="B194"/>
  <c r="B178"/>
  <c r="H141"/>
  <c r="L160"/>
  <c r="L167"/>
  <c r="L178"/>
  <c r="X141"/>
  <c r="X160"/>
  <c r="X167"/>
  <c r="X178"/>
  <c r="X194"/>
  <c r="X195"/>
  <c r="AO141"/>
  <c r="AO160"/>
  <c r="AO167"/>
  <c r="AP128"/>
  <c r="AR194"/>
  <c r="AR195"/>
  <c r="AU194"/>
  <c r="AU195"/>
  <c r="AV42"/>
  <c r="T128"/>
  <c r="AV56"/>
  <c r="AV79"/>
  <c r="AV102"/>
  <c r="AV108"/>
  <c r="U121"/>
  <c r="U160"/>
  <c r="AV165"/>
  <c r="T178"/>
  <c r="M178"/>
  <c r="U183"/>
  <c r="M194"/>
  <c r="M195"/>
  <c r="AV193"/>
  <c r="AV72"/>
  <c r="AV92"/>
  <c r="J141"/>
  <c r="J160"/>
  <c r="J167"/>
  <c r="J178"/>
  <c r="J194"/>
  <c r="J195"/>
  <c r="AK178"/>
  <c r="O178"/>
  <c r="Q178"/>
  <c r="AV10"/>
  <c r="AN196"/>
  <c r="X196"/>
  <c r="AV89"/>
  <c r="AV59"/>
  <c r="AV44"/>
  <c r="AV6"/>
  <c r="AV8"/>
  <c r="AV12"/>
  <c r="AV58"/>
  <c r="AV73"/>
  <c r="E107"/>
  <c r="F126"/>
  <c r="F127"/>
  <c r="AV152"/>
  <c r="AV161"/>
  <c r="AV163"/>
  <c r="B160"/>
  <c r="B167"/>
  <c r="AV121"/>
  <c r="AV28"/>
  <c r="AV31"/>
  <c r="AV61"/>
  <c r="AV69"/>
  <c r="AV77"/>
  <c r="AV116"/>
  <c r="AV162"/>
  <c r="AV170"/>
  <c r="AV177"/>
  <c r="G141"/>
  <c r="G147"/>
  <c r="G160"/>
  <c r="G167"/>
  <c r="G178"/>
  <c r="G194"/>
  <c r="G195"/>
  <c r="H194"/>
  <c r="H195"/>
  <c r="K160"/>
  <c r="K167"/>
  <c r="K178"/>
  <c r="L141"/>
  <c r="L196"/>
  <c r="Y141"/>
  <c r="Y178"/>
  <c r="Z178"/>
  <c r="Z196"/>
  <c r="AU178"/>
  <c r="C141"/>
  <c r="C178"/>
  <c r="C196"/>
  <c r="AQ141"/>
  <c r="P194"/>
  <c r="P195"/>
  <c r="AL141"/>
  <c r="AV15"/>
  <c r="AV20"/>
  <c r="AV23"/>
  <c r="AV25"/>
  <c r="AV33"/>
  <c r="AV35"/>
  <c r="AO196"/>
  <c r="AV80"/>
  <c r="D196"/>
  <c r="L128"/>
  <c r="AC167"/>
  <c r="AV5"/>
  <c r="AV9"/>
  <c r="AV22"/>
  <c r="AQ178"/>
  <c r="B127"/>
  <c r="C126" i="47"/>
  <c r="P128" i="36"/>
  <c r="AM128"/>
  <c r="AV138"/>
  <c r="AV30"/>
  <c r="AL128"/>
  <c r="AV91"/>
  <c r="F159"/>
  <c r="AV156"/>
  <c r="AV176"/>
  <c r="F189"/>
  <c r="AV189"/>
  <c r="AD196"/>
  <c r="C74" i="8"/>
  <c r="F183" i="36"/>
  <c r="D28" i="9"/>
  <c r="G29"/>
  <c r="D145" i="8"/>
  <c r="AV7" i="36"/>
  <c r="AV16"/>
  <c r="AV29"/>
  <c r="AV36"/>
  <c r="AV38"/>
  <c r="AV66"/>
  <c r="AV144"/>
  <c r="AV148"/>
  <c r="AV155"/>
  <c r="E160"/>
  <c r="E167"/>
  <c r="AV187"/>
  <c r="AE194"/>
  <c r="AE195"/>
  <c r="D64" i="47"/>
  <c r="K141" i="36"/>
  <c r="AI128"/>
  <c r="AI160"/>
  <c r="AI167"/>
  <c r="AI178"/>
  <c r="R167"/>
  <c r="AB178"/>
  <c r="AV53"/>
  <c r="AV114"/>
  <c r="F82" i="49"/>
  <c r="W12"/>
  <c r="D40"/>
  <c r="D63"/>
  <c r="D81"/>
  <c r="D82"/>
  <c r="K40"/>
  <c r="W46"/>
  <c r="W53"/>
  <c r="W55"/>
  <c r="W56"/>
  <c r="H63"/>
  <c r="Q63"/>
  <c r="W77"/>
  <c r="H81"/>
  <c r="W85"/>
  <c r="J86"/>
  <c r="J101"/>
  <c r="W101"/>
  <c r="W115"/>
  <c r="W121"/>
  <c r="J137"/>
  <c r="W136"/>
  <c r="I191"/>
  <c r="Y160" i="36"/>
  <c r="Y167"/>
  <c r="Y194"/>
  <c r="Y195"/>
  <c r="AA160"/>
  <c r="AA194"/>
  <c r="AA195"/>
  <c r="AD128"/>
  <c r="AE160"/>
  <c r="AE167"/>
  <c r="AE196"/>
  <c r="AC194"/>
  <c r="AC195"/>
  <c r="AU141"/>
  <c r="AU160"/>
  <c r="AU167"/>
  <c r="U147"/>
  <c r="U167"/>
  <c r="T194"/>
  <c r="T195"/>
  <c r="I160"/>
  <c r="I167"/>
  <c r="AQ194"/>
  <c r="AQ195"/>
  <c r="D87" i="47"/>
  <c r="D145"/>
  <c r="D151"/>
  <c r="S128" i="36"/>
  <c r="S160"/>
  <c r="S194"/>
  <c r="S195"/>
  <c r="N141"/>
  <c r="N160"/>
  <c r="AK141"/>
  <c r="AK196"/>
  <c r="AF167"/>
  <c r="Q160"/>
  <c r="Q167"/>
  <c r="Q194"/>
  <c r="Q195"/>
  <c r="R178"/>
  <c r="R194"/>
  <c r="R195"/>
  <c r="D128"/>
  <c r="AM160"/>
  <c r="AM167"/>
  <c r="AM178"/>
  <c r="AG128"/>
  <c r="W194"/>
  <c r="W195"/>
  <c r="B13" i="49"/>
  <c r="B18"/>
  <c r="G13"/>
  <c r="G18"/>
  <c r="G126"/>
  <c r="W6"/>
  <c r="W8"/>
  <c r="L13"/>
  <c r="H18"/>
  <c r="W22"/>
  <c r="W28"/>
  <c r="W36"/>
  <c r="W44"/>
  <c r="T116"/>
  <c r="D139"/>
  <c r="D191"/>
  <c r="F157"/>
  <c r="F164"/>
  <c r="V157"/>
  <c r="V164"/>
  <c r="W183"/>
  <c r="J184"/>
  <c r="W184"/>
  <c r="L189"/>
  <c r="L190"/>
  <c r="W51"/>
  <c r="O63"/>
  <c r="W54"/>
  <c r="W57"/>
  <c r="U126"/>
  <c r="K63"/>
  <c r="W69"/>
  <c r="W76"/>
  <c r="W78"/>
  <c r="O81"/>
  <c r="B97"/>
  <c r="N97"/>
  <c r="I97"/>
  <c r="V97"/>
  <c r="W106"/>
  <c r="W108"/>
  <c r="W109"/>
  <c r="W110"/>
  <c r="W112"/>
  <c r="U139"/>
  <c r="M139"/>
  <c r="J148"/>
  <c r="C157"/>
  <c r="L157"/>
  <c r="L164"/>
  <c r="L175"/>
  <c r="L191"/>
  <c r="U157"/>
  <c r="U164"/>
  <c r="B175"/>
  <c r="M175"/>
  <c r="AV191" i="36"/>
  <c r="AU128"/>
  <c r="F178"/>
  <c r="F194"/>
  <c r="F195"/>
  <c r="AV93"/>
  <c r="AV96"/>
  <c r="E127"/>
  <c r="F137"/>
  <c r="C15" i="27"/>
  <c r="C9" s="1"/>
  <c r="F145" i="36"/>
  <c r="F147"/>
  <c r="AV143"/>
  <c r="U137"/>
  <c r="U141"/>
  <c r="AV34"/>
  <c r="AC128"/>
  <c r="D146" i="47"/>
  <c r="D150"/>
  <c r="O196" i="36"/>
  <c r="R128"/>
  <c r="AV90"/>
  <c r="G18" i="18"/>
  <c r="C151" i="46"/>
  <c r="AV159" i="36"/>
  <c r="M196"/>
  <c r="T167"/>
  <c r="T196"/>
  <c r="J128"/>
  <c r="E178"/>
  <c r="AL196"/>
  <c r="D125" i="46"/>
  <c r="D146"/>
  <c r="J196" i="36"/>
  <c r="N167"/>
  <c r="N196"/>
  <c r="AK128"/>
  <c r="X128"/>
  <c r="AV85"/>
  <c r="AV164"/>
  <c r="G126"/>
  <c r="G127"/>
  <c r="AV123"/>
  <c r="B195"/>
  <c r="AS167"/>
  <c r="AT160"/>
  <c r="AT167"/>
  <c r="AT196"/>
  <c r="AV46"/>
  <c r="AV67"/>
  <c r="AV70"/>
  <c r="O128"/>
  <c r="H128"/>
  <c r="D146" i="8"/>
  <c r="D150" i="46"/>
  <c r="AV183" i="36"/>
  <c r="AV88"/>
  <c r="C128"/>
  <c r="AF196"/>
  <c r="W196"/>
  <c r="AV51"/>
  <c r="B63" i="49"/>
  <c r="W83"/>
  <c r="J84"/>
  <c r="D13"/>
  <c r="D18"/>
  <c r="W114"/>
  <c r="J116"/>
  <c r="W116"/>
  <c r="W123"/>
  <c r="J186"/>
  <c r="W185"/>
  <c r="D32" i="10"/>
  <c r="D33"/>
  <c r="G32"/>
  <c r="D31"/>
  <c r="AV117" i="36"/>
  <c r="W15" i="49"/>
  <c r="O40"/>
  <c r="P47"/>
  <c r="P81"/>
  <c r="P82"/>
  <c r="J66"/>
  <c r="W66"/>
  <c r="I70"/>
  <c r="W74"/>
  <c r="L105"/>
  <c r="V191"/>
  <c r="H160" i="36"/>
  <c r="H167"/>
  <c r="AG167"/>
  <c r="AG196"/>
  <c r="P178"/>
  <c r="P196"/>
  <c r="W23" i="49"/>
  <c r="H82"/>
  <c r="J88"/>
  <c r="W88"/>
  <c r="F191"/>
  <c r="W180"/>
  <c r="AV63" i="36"/>
  <c r="AV87"/>
  <c r="AV60"/>
  <c r="D64" i="8"/>
  <c r="D87"/>
  <c r="D151"/>
  <c r="G30" i="9"/>
  <c r="AV24" i="36"/>
  <c r="AV37"/>
  <c r="AV139"/>
  <c r="AV74"/>
  <c r="U194"/>
  <c r="U195"/>
  <c r="I178"/>
  <c r="I196"/>
  <c r="AV86"/>
  <c r="H191" i="49"/>
  <c r="D26"/>
  <c r="T17"/>
  <c r="K82"/>
  <c r="K126"/>
  <c r="W41"/>
  <c r="W67"/>
  <c r="W86"/>
  <c r="AV83" i="36"/>
  <c r="AV64"/>
  <c r="F13" i="49"/>
  <c r="F18"/>
  <c r="F26"/>
  <c r="I26"/>
  <c r="I13"/>
  <c r="I18"/>
  <c r="E13"/>
  <c r="E18"/>
  <c r="W10"/>
  <c r="W89"/>
  <c r="J90"/>
  <c r="W90"/>
  <c r="W104"/>
  <c r="W129"/>
  <c r="J135"/>
  <c r="W148"/>
  <c r="S167" i="36"/>
  <c r="AV21"/>
  <c r="AV135"/>
  <c r="H178"/>
  <c r="U178"/>
  <c r="F107"/>
  <c r="AV111"/>
  <c r="AV27"/>
  <c r="I16" i="18"/>
  <c r="AV94" i="36"/>
  <c r="I6" i="18"/>
  <c r="AA167" i="36"/>
  <c r="I128"/>
  <c r="AV185"/>
  <c r="B81" i="49"/>
  <c r="H126"/>
  <c r="R40"/>
  <c r="R82"/>
  <c r="R126"/>
  <c r="E63"/>
  <c r="E82"/>
  <c r="M164"/>
  <c r="M191"/>
  <c r="B164"/>
  <c r="B40"/>
  <c r="J60"/>
  <c r="W60"/>
  <c r="J80"/>
  <c r="W80"/>
  <c r="C81"/>
  <c r="C82"/>
  <c r="AB160" i="36"/>
  <c r="AB167"/>
  <c r="AB196"/>
  <c r="AR160"/>
  <c r="AR167"/>
  <c r="AR178"/>
  <c r="AR196"/>
  <c r="W163" i="49"/>
  <c r="J96"/>
  <c r="W96"/>
  <c r="W33"/>
  <c r="W14"/>
  <c r="W21"/>
  <c r="W25"/>
  <c r="W30"/>
  <c r="Q40"/>
  <c r="Q82"/>
  <c r="W35"/>
  <c r="W72"/>
  <c r="M97"/>
  <c r="T97"/>
  <c r="W113"/>
  <c r="C164"/>
  <c r="C191"/>
  <c r="N164"/>
  <c r="J154"/>
  <c r="W156"/>
  <c r="W174"/>
  <c r="J175"/>
  <c r="B26"/>
  <c r="T5"/>
  <c r="W5"/>
  <c r="E25" i="19"/>
  <c r="AP160" i="36"/>
  <c r="AP167"/>
  <c r="AP196"/>
  <c r="W20" i="49"/>
  <c r="W24"/>
  <c r="W29"/>
  <c r="W31"/>
  <c r="W38"/>
  <c r="W48"/>
  <c r="W62"/>
  <c r="W137"/>
  <c r="L59"/>
  <c r="W59"/>
  <c r="F19" i="10"/>
  <c r="F30" s="1"/>
  <c r="N191" i="49"/>
  <c r="C150" i="50"/>
  <c r="C88"/>
  <c r="W58" i="49"/>
  <c r="L126"/>
  <c r="Q126"/>
  <c r="C126"/>
  <c r="W61"/>
  <c r="B191"/>
  <c r="J105"/>
  <c r="W105"/>
  <c r="O82"/>
  <c r="O126"/>
  <c r="U191"/>
  <c r="V126"/>
  <c r="J145"/>
  <c r="W145"/>
  <c r="W143"/>
  <c r="AV32" i="36"/>
  <c r="AV4"/>
  <c r="C122" i="47"/>
  <c r="H196" i="36"/>
  <c r="AV147"/>
  <c r="AM196"/>
  <c r="AI196"/>
  <c r="E196"/>
  <c r="AQ196"/>
  <c r="AO128"/>
  <c r="G196"/>
  <c r="AE128"/>
  <c r="C97" i="8"/>
  <c r="W128" i="36"/>
  <c r="Y128"/>
  <c r="AA196"/>
  <c r="AV107"/>
  <c r="AF128"/>
  <c r="S196"/>
  <c r="AQ128"/>
  <c r="N128"/>
  <c r="C74" i="47"/>
  <c r="C87"/>
  <c r="Q196" i="36"/>
  <c r="AU196"/>
  <c r="Y196"/>
  <c r="K196"/>
  <c r="AC196"/>
  <c r="T13" i="49"/>
  <c r="W17"/>
  <c r="D126"/>
  <c r="AV194" i="36"/>
  <c r="AV45"/>
  <c r="AB128"/>
  <c r="R196"/>
  <c r="F160"/>
  <c r="AV160"/>
  <c r="AV126"/>
  <c r="W39" i="49"/>
  <c r="I81"/>
  <c r="I82"/>
  <c r="I126"/>
  <c r="AV127" i="36"/>
  <c r="AN128"/>
  <c r="D88" i="47"/>
  <c r="M126" i="49"/>
  <c r="C111" i="8"/>
  <c r="W47" i="49"/>
  <c r="W45"/>
  <c r="J125"/>
  <c r="W125"/>
  <c r="W124"/>
  <c r="J139"/>
  <c r="W135"/>
  <c r="AV84" i="36"/>
  <c r="W70" i="49"/>
  <c r="W68"/>
  <c r="C22" i="8"/>
  <c r="C22" i="47"/>
  <c r="W186" i="49"/>
  <c r="J189"/>
  <c r="AS196" i="36"/>
  <c r="B196"/>
  <c r="AV195"/>
  <c r="T19" i="49"/>
  <c r="K128" i="36"/>
  <c r="D150" i="8"/>
  <c r="D88"/>
  <c r="Q128" i="36"/>
  <c r="J97" i="49"/>
  <c r="W97"/>
  <c r="W84"/>
  <c r="F141" i="36"/>
  <c r="AV137"/>
  <c r="AV47"/>
  <c r="B82" i="49"/>
  <c r="B126"/>
  <c r="AV145" i="36"/>
  <c r="AV39"/>
  <c r="N126" i="49"/>
  <c r="G128" i="36"/>
  <c r="F126" i="49"/>
  <c r="Z128" i="36"/>
  <c r="AV68"/>
  <c r="W40" i="49"/>
  <c r="W32"/>
  <c r="C9" i="12"/>
  <c r="C30" i="47"/>
  <c r="C29" s="1"/>
  <c r="C16" i="27"/>
  <c r="AV50" i="36"/>
  <c r="AV14"/>
  <c r="W154" i="49"/>
  <c r="J157"/>
  <c r="W63"/>
  <c r="W52"/>
  <c r="W4"/>
  <c r="AR128" i="36"/>
  <c r="E126" i="49"/>
  <c r="AA128" i="36"/>
  <c r="AH128"/>
  <c r="AV178"/>
  <c r="AV13"/>
  <c r="U196"/>
  <c r="S81" i="49"/>
  <c r="S82"/>
  <c r="S126"/>
  <c r="W13"/>
  <c r="F167" i="36"/>
  <c r="AV167"/>
  <c r="W157" i="49"/>
  <c r="J164"/>
  <c r="W164"/>
  <c r="M128" i="36"/>
  <c r="U128"/>
  <c r="B128"/>
  <c r="W189" i="49"/>
  <c r="J190"/>
  <c r="W190"/>
  <c r="C108" i="47"/>
  <c r="O7" i="26"/>
  <c r="C6" i="10"/>
  <c r="W139" i="49"/>
  <c r="J191"/>
  <c r="B193"/>
  <c r="AV65" i="36"/>
  <c r="AV54"/>
  <c r="AV40"/>
  <c r="AT128"/>
  <c r="AS128"/>
  <c r="C37" i="47"/>
  <c r="F196" i="36"/>
  <c r="AV196"/>
  <c r="AV141"/>
  <c r="AW196"/>
  <c r="P126" i="49"/>
  <c r="AV19" i="36"/>
  <c r="C8" i="47"/>
  <c r="W19" i="49"/>
  <c r="F8" i="10"/>
  <c r="AV17" i="36"/>
  <c r="W71" i="49"/>
  <c r="L199"/>
  <c r="S175"/>
  <c r="S191"/>
  <c r="G199"/>
  <c r="AV71" i="36"/>
  <c r="J126" i="49"/>
  <c r="B194"/>
  <c r="B195"/>
  <c r="B197"/>
  <c r="AX196" i="36"/>
  <c r="F9" i="9"/>
  <c r="F128" i="36"/>
  <c r="AV81"/>
  <c r="C199" i="49"/>
  <c r="I14" i="26"/>
  <c r="I27" s="1"/>
  <c r="C17" i="27"/>
  <c r="W81" i="49"/>
  <c r="T175"/>
  <c r="E128" i="36"/>
  <c r="AV128"/>
  <c r="AW128"/>
  <c r="T126" i="49"/>
  <c r="W175"/>
  <c r="T191"/>
  <c r="AX128" i="36"/>
  <c r="AW197"/>
  <c r="L200" i="49"/>
  <c r="L201"/>
  <c r="L203"/>
  <c r="G200"/>
  <c r="F6" i="9"/>
  <c r="C92" i="47"/>
  <c r="C125" s="1"/>
  <c r="C146" s="1"/>
  <c r="B200" i="49"/>
  <c r="Q200"/>
  <c r="Q201"/>
  <c r="Q203"/>
  <c r="W126"/>
  <c r="B199"/>
  <c r="W191"/>
  <c r="F8" i="9"/>
  <c r="G201" i="49"/>
  <c r="C200"/>
  <c r="B201"/>
  <c r="B203"/>
  <c r="G203"/>
  <c r="C201"/>
  <c r="C203"/>
  <c r="G206"/>
  <c r="O12" i="35" l="1"/>
  <c r="F18" i="18"/>
  <c r="I9"/>
  <c r="I18" s="1"/>
  <c r="F27" i="26"/>
  <c r="F27" i="35"/>
  <c r="O26" i="26"/>
  <c r="D27"/>
  <c r="N27"/>
  <c r="O20" i="35"/>
  <c r="H27"/>
  <c r="G27"/>
  <c r="J27"/>
  <c r="M27"/>
  <c r="O26"/>
  <c r="O22"/>
  <c r="O24"/>
  <c r="L27"/>
  <c r="K27"/>
  <c r="N27"/>
  <c r="E27"/>
  <c r="O21"/>
  <c r="I27"/>
  <c r="M27" i="26"/>
  <c r="L27"/>
  <c r="J27"/>
  <c r="O14" i="35"/>
  <c r="O10"/>
  <c r="O8"/>
  <c r="G27" i="26"/>
  <c r="O7" i="35"/>
  <c r="O18"/>
  <c r="O13"/>
  <c r="I9"/>
  <c r="O9" s="1"/>
  <c r="C27"/>
  <c r="O23"/>
  <c r="O11"/>
  <c r="O25"/>
  <c r="O19"/>
  <c r="D27"/>
  <c r="E24" i="14"/>
  <c r="I13" i="18"/>
  <c r="E18"/>
  <c r="D18"/>
  <c r="C151" i="47"/>
  <c r="C64"/>
  <c r="C88" s="1"/>
  <c r="C150" i="46"/>
  <c r="C146"/>
  <c r="C150" i="55"/>
  <c r="C150" i="54"/>
  <c r="C11" i="9"/>
  <c r="C87" i="8"/>
  <c r="C92"/>
  <c r="F10" i="10"/>
  <c r="C151" i="8"/>
  <c r="C7" i="9"/>
  <c r="C30" i="27"/>
  <c r="C8" i="10"/>
  <c r="C17" s="1"/>
  <c r="C64" i="8"/>
  <c r="C6" i="9"/>
  <c r="C108" i="8"/>
  <c r="C125" s="1"/>
  <c r="C146" s="1"/>
  <c r="B7" i="17"/>
  <c r="B32" s="1"/>
  <c r="F6" i="10"/>
  <c r="F10" i="9"/>
  <c r="F18" s="1"/>
  <c r="F28" s="1"/>
  <c r="F26"/>
  <c r="F27" s="1"/>
  <c r="C9"/>
  <c r="E7" i="11"/>
  <c r="O27" i="35" l="1"/>
  <c r="C150" i="47"/>
  <c r="C31" i="10"/>
  <c r="C88" i="8"/>
  <c r="C150"/>
  <c r="F7" i="11"/>
  <c r="F11" s="1"/>
  <c r="E11"/>
  <c r="O13" i="26"/>
  <c r="C14"/>
  <c r="C15" i="35"/>
  <c r="F17" i="10"/>
  <c r="F31" s="1"/>
  <c r="F33" s="1"/>
  <c r="C18" i="9"/>
  <c r="C32" i="10" l="1"/>
  <c r="C33"/>
  <c r="C28" i="9"/>
  <c r="C30"/>
  <c r="F29"/>
  <c r="C29"/>
  <c r="F30"/>
  <c r="O14" i="26"/>
  <c r="C27"/>
  <c r="C16" i="35"/>
  <c r="C28" s="1"/>
  <c r="D6" s="1"/>
  <c r="D16" s="1"/>
  <c r="D28" s="1"/>
  <c r="E6" s="1"/>
  <c r="E16" s="1"/>
  <c r="E28" s="1"/>
  <c r="F6" s="1"/>
  <c r="F16" s="1"/>
  <c r="F28" s="1"/>
  <c r="G6" s="1"/>
  <c r="G16" s="1"/>
  <c r="G28" s="1"/>
  <c r="H6" s="1"/>
  <c r="H16" s="1"/>
  <c r="H28" s="1"/>
  <c r="I6" s="1"/>
  <c r="I16" s="1"/>
  <c r="I28" s="1"/>
  <c r="J6" s="1"/>
  <c r="J16" s="1"/>
  <c r="J28" s="1"/>
  <c r="K6" s="1"/>
  <c r="K16" s="1"/>
  <c r="K28" s="1"/>
  <c r="L6" s="1"/>
  <c r="L16" s="1"/>
  <c r="L28" s="1"/>
  <c r="M6" s="1"/>
  <c r="M16" s="1"/>
  <c r="M28" s="1"/>
  <c r="N6" s="1"/>
  <c r="N16" s="1"/>
  <c r="N28" s="1"/>
  <c r="O15"/>
  <c r="O16" s="1"/>
  <c r="F32" i="10"/>
</calcChain>
</file>

<file path=xl/sharedStrings.xml><?xml version="1.0" encoding="utf-8"?>
<sst xmlns="http://schemas.openxmlformats.org/spreadsheetml/2006/main" count="3622" uniqueCount="835">
  <si>
    <t>Személyi juttatások</t>
  </si>
  <si>
    <t>Munkaadókat terhelő járulékok és szociális hozzájárulási adó</t>
  </si>
  <si>
    <t>Dologi kiadások</t>
  </si>
  <si>
    <t>Beruházások</t>
  </si>
  <si>
    <t>Működési bevételek</t>
  </si>
  <si>
    <t>Közhatalmi bevételek</t>
  </si>
  <si>
    <t>Egyéb közhatalmi bevételek</t>
  </si>
  <si>
    <t>Ellátottak pénzbeli juttatásai</t>
  </si>
  <si>
    <t>Felújítások</t>
  </si>
  <si>
    <t>Finanszírozási kiadások</t>
  </si>
  <si>
    <t>Finanszírozási bevételek</t>
  </si>
  <si>
    <t>Egyéb működési célú kiadások</t>
  </si>
  <si>
    <t>Összesen</t>
  </si>
  <si>
    <t>K1103 - Céljuttatás, projektprémium</t>
  </si>
  <si>
    <t>K1104 - Készenléti, ügyeleti, helyettesítési díj, túlóra, túlszolgálat</t>
  </si>
  <si>
    <t>K1108 - Ruházati költségtérítés</t>
  </si>
  <si>
    <t>K1109 - Közlekedési költségtérítés</t>
  </si>
  <si>
    <t>K11 - Foglalkoztatottak személyi juttatásai</t>
  </si>
  <si>
    <t>K121 - Választott tisztségviselők juttatásai</t>
  </si>
  <si>
    <t>K12 -Külső személyi juttatások</t>
  </si>
  <si>
    <t>K1 - Személyi juttatások</t>
  </si>
  <si>
    <t>K22 - Rehabilitációs hozzájárulás</t>
  </si>
  <si>
    <t>K23 - Korkedvezmény-biztosítási járulék</t>
  </si>
  <si>
    <t>K25 - Táppénz hozzájárulás</t>
  </si>
  <si>
    <t>K26 - Egyéb járulék jellegű kötelezettség</t>
  </si>
  <si>
    <t>K2 - Munkaadókat terhelő járulékok és szociális hozzájárulási adó</t>
  </si>
  <si>
    <t>K3111 - Gyógyszer</t>
  </si>
  <si>
    <t>K3112 - Vegyszerek</t>
  </si>
  <si>
    <t>K311 - Szakmai anyagok</t>
  </si>
  <si>
    <t>K3121 - Élelmiszerek</t>
  </si>
  <si>
    <t>K3123 - Tonnerek, festékpaptronok</t>
  </si>
  <si>
    <t>K3124 - Tüzelőanyagok, hajtó- és kenőanyagok</t>
  </si>
  <si>
    <t>K312 - Üzemeltetési anyagok</t>
  </si>
  <si>
    <t>K31 - Készletbeszerzés</t>
  </si>
  <si>
    <t>K3211 - Számítógép üzembe helyezése, rendszer tervezés</t>
  </si>
  <si>
    <t>K3216 - Inernetes portálok készítése, működtetése</t>
  </si>
  <si>
    <t>K32 - Kommunikációs szolgáltatások</t>
  </si>
  <si>
    <t>K3311 - Villamosenergia díja</t>
  </si>
  <si>
    <t>K3312 - Gázenergia díja</t>
  </si>
  <si>
    <t>K3313 - Távhő- és melegvíz szolgáltatás díja</t>
  </si>
  <si>
    <t>K3314 - Víz- és csatornadíj</t>
  </si>
  <si>
    <t>K331 - Közüzemi díjak</t>
  </si>
  <si>
    <t>K332 - Vásárolt élelmezés</t>
  </si>
  <si>
    <t>K333 - Bérleti és lizingdíjak</t>
  </si>
  <si>
    <t>K3351 - Közvetített szolgáltatások Áht-n belül</t>
  </si>
  <si>
    <t>K3352 - Közvetített szolgáltatások Áht-n kívül</t>
  </si>
  <si>
    <t>K335 - Közvetített szolgáltatások</t>
  </si>
  <si>
    <t>K336 - Szakmai tevékenységet segítő szolgáltatások</t>
  </si>
  <si>
    <t>K33 - Szolgáltatási kiadások</t>
  </si>
  <si>
    <t>K3413 - Külsős kikületési költségei</t>
  </si>
  <si>
    <t>K341 - Kiküldetések kiadásai</t>
  </si>
  <si>
    <t>K342 - Reklám és propaganda kiadások</t>
  </si>
  <si>
    <t>K34 - Kiküldetések, reklám és propaganda kiadások</t>
  </si>
  <si>
    <t>K352 - Fizetendő áfa</t>
  </si>
  <si>
    <t>K3532 - Hitelek utánni kamatkiadásk</t>
  </si>
  <si>
    <t>K3551 - Behajthatalnal adott előlegek</t>
  </si>
  <si>
    <t>K3553 - Kerekítési különbözet</t>
  </si>
  <si>
    <t>K3554 - Adó-, vám-, illeték és más adójellegű kiadások</t>
  </si>
  <si>
    <t>K355 - Egyéb dologi kiadások</t>
  </si>
  <si>
    <t>K35 - Különféle befizetések é egyéb dologi kiadások</t>
  </si>
  <si>
    <t>K3 - Dologi kiadások</t>
  </si>
  <si>
    <t>K42 - Családi támogatások</t>
  </si>
  <si>
    <t>K441 - Ápolási díj méltányossági jogon</t>
  </si>
  <si>
    <t>K44 - Betegséggel kapcsolatos ellátások</t>
  </si>
  <si>
    <t>K458 - Foglalkoztatást helyettesítő támogatás</t>
  </si>
  <si>
    <t>K45 - Foglalkoztatással, munkanélküliséggel kapcsolatos ellátások</t>
  </si>
  <si>
    <t>K463 - Lakásfenntartási támogatás</t>
  </si>
  <si>
    <t>K46 - Lakhatással kapcsolatos ellátások</t>
  </si>
  <si>
    <t>K473 - Felsőoktatásba résztvevők részére nyújtott támogatás</t>
  </si>
  <si>
    <t>K47 - Intézményi ellátottak pénzbeli juttatásai</t>
  </si>
  <si>
    <t>K4822 - Köztemetés</t>
  </si>
  <si>
    <t>K4823 - Önkormányzat saját hatáskörben adott pénzügyi ellátás (közgyógy ellátás, lakásfenntartási támogatás, temetési támogatás, beiskolázási támogatás)</t>
  </si>
  <si>
    <t>K4824 - Önkormányzat saját hatáskörben adott természetbeni ellátás (rendkívüli gyermekvédelmi támogatás)</t>
  </si>
  <si>
    <t>K48 - Egyéb nem intézményi ellátások</t>
  </si>
  <si>
    <t>K4 - Ellátottak bénzbeli juttatásai</t>
  </si>
  <si>
    <t>K5021 - Jogosulatlan támogatás visszafizetése</t>
  </si>
  <si>
    <t>K5022 - Költségvetési maradványt terhelő visszafizetések</t>
  </si>
  <si>
    <t>K5024 - Költségvetési szervek többletbevétel után irányító szerv felé befizetési kötelezettsége</t>
  </si>
  <si>
    <t>K502 - Elvonások és befizetések (eredetiben nem tervezhető)</t>
  </si>
  <si>
    <t>K5 - Egyéb működési célú kiadások</t>
  </si>
  <si>
    <t>K61 - Immateriális javak beszerzése</t>
  </si>
  <si>
    <t>K67 - Beruházási célú áfa</t>
  </si>
  <si>
    <t>K6 - Beruházások</t>
  </si>
  <si>
    <t>K71 - Ingatlanok felújítása</t>
  </si>
  <si>
    <t>K72 - Informatikai eszközök felújítása</t>
  </si>
  <si>
    <t>K73 - Egyéb tárgyi eszközök felújítása</t>
  </si>
  <si>
    <t>K74 - Felújítási célú áfa</t>
  </si>
  <si>
    <t>K7 - Felújítások</t>
  </si>
  <si>
    <t>K86 - Felhalmozási célú visszatérítendő támogatások Áht-n kívülre</t>
  </si>
  <si>
    <t>K88 - Egyéb felhalmozási célú támogatások Áht-n kívülre</t>
  </si>
  <si>
    <t>K8 - Egyéb felhalmozási célú kiadások</t>
  </si>
  <si>
    <t>K9111 - Hosszú lejáratú hitelek, kölcsönök törlesztése Áht-n kívülre</t>
  </si>
  <si>
    <t>K911 - Hitel, kölcsön törlesztés Áht-n kívülre</t>
  </si>
  <si>
    <t>K914 - Megelőlegezések visszafizetése Áht-n belül</t>
  </si>
  <si>
    <t>K915 - Irányítószervi támogatás</t>
  </si>
  <si>
    <t>K91 - Belföldi finanszírozás kiadásai</t>
  </si>
  <si>
    <t>K9 - Finanszírozási kiadások</t>
  </si>
  <si>
    <t>KIADÁSOK</t>
  </si>
  <si>
    <t>B111 - Helyi önkormányzatok működésének általános támogatása</t>
  </si>
  <si>
    <t>B112 - Települési önkormányzatok egyes köznevelési feladatainak támogatása</t>
  </si>
  <si>
    <t>B113 - Települési önkormányzatok szociális, gyermekjóléti és gyermekétkeztetési feladatainak támogatása</t>
  </si>
  <si>
    <t>B114 - Települési önkormányzatok kulturális feladatainak támogatása</t>
  </si>
  <si>
    <t>B115 - Működési célú központosított előirányzatok</t>
  </si>
  <si>
    <t>B116 - Helyi önkormányzatok kiegészítő támogatásai</t>
  </si>
  <si>
    <t>B11 - Önkormányzatok működési támogatásai</t>
  </si>
  <si>
    <t>B122 - Költségvetési maradványt terhelő befizetési kötelezettség teljesítéséből származó bevétel</t>
  </si>
  <si>
    <t>B12 - Elvonások és befizetések bevételei</t>
  </si>
  <si>
    <t>B16 - Egyéb működési célú támogatások bevételei Áht-n belülről</t>
  </si>
  <si>
    <t>B1 - Működési célú támogatások Áht-n belülről</t>
  </si>
  <si>
    <t>B211 - Felhalmozási célra biztosított központosított bevételek</t>
  </si>
  <si>
    <t>B212 - Vis maior támogatások</t>
  </si>
  <si>
    <t>B213 - Egyéb felhalomzási célú támogatások</t>
  </si>
  <si>
    <t>B21 - Felhalmozási célú önkormányzti támogatások</t>
  </si>
  <si>
    <t>B25 - Egyéb felhalmozási célú támogatások Áht-n belülről</t>
  </si>
  <si>
    <t>B2 - Felhalmozási célú támogatások Áht-n belülről</t>
  </si>
  <si>
    <t>B342 - Épületek utánni idegenforgalmi adó</t>
  </si>
  <si>
    <t>B343 - Magánszemélyek kommunális adója</t>
  </si>
  <si>
    <t>B34 - Vagyoni típusú adók</t>
  </si>
  <si>
    <t>B3517 - Állabdó jelleggel végzett iparűzési adó</t>
  </si>
  <si>
    <t>B3518 - Ideiglenes jelleggel végzett iparűzési adó</t>
  </si>
  <si>
    <t>B351 - Értékesítési és forgalmi adó</t>
  </si>
  <si>
    <t>B3541 - Gépjárműadó központi ktgvetést megillető része</t>
  </si>
  <si>
    <t>B3542 - Gépjárműadó helyi önkormányzatot megillető része</t>
  </si>
  <si>
    <t>B354 - Gépjárműadó</t>
  </si>
  <si>
    <t>B3559 - Telejterhelési díj</t>
  </si>
  <si>
    <t>B355 - Egyéb áruhasználati és szolgáltatási adó</t>
  </si>
  <si>
    <t>B35 - Termékek és szolgáltatások adói</t>
  </si>
  <si>
    <t>B362 - Eljárási illetékek</t>
  </si>
  <si>
    <t>B363 - Igazgatási szolgáltatási díj</t>
  </si>
  <si>
    <t>B3610 - Építésügyi bírság</t>
  </si>
  <si>
    <t>B3611 - Szabálysértési pénz- és helyszíni bírság</t>
  </si>
  <si>
    <t>B3612 - Egyéb bírság</t>
  </si>
  <si>
    <t>B36 - Egyéb közhatalmi bevételek</t>
  </si>
  <si>
    <t>B3 - Közhatalmi bevételek</t>
  </si>
  <si>
    <t>B4041 - Tárgyi eszköz ellenérték fejében történű vagyonkezelésbe, haszonbérbe adásából származó bevételek</t>
  </si>
  <si>
    <t>B404 - Tulajdonosi bevételek</t>
  </si>
  <si>
    <t>B405 - Ellátási díjak</t>
  </si>
  <si>
    <t>B406 - Kiszámlázott áfa</t>
  </si>
  <si>
    <t>B407 - Áfa visszatérítés</t>
  </si>
  <si>
    <t>B408 - Kamatbevételek</t>
  </si>
  <si>
    <t>4107 - Foglalkoztatottak, biztosítok által fizetett kártérítés</t>
  </si>
  <si>
    <t>B410 - Egyéb működési bevételek</t>
  </si>
  <si>
    <t>B4 - Működési bevételek</t>
  </si>
  <si>
    <t>B52 - Ingatlanok értékesítése</t>
  </si>
  <si>
    <t>B53 - Egyéb tárgyi eszközök értékesítése</t>
  </si>
  <si>
    <t>B5 - Felhalmozási bevételek</t>
  </si>
  <si>
    <t>B63 - Egyéb működési célú átvett pénzeszköz</t>
  </si>
  <si>
    <t>B6 - Működési célú átvett pénzeszköz</t>
  </si>
  <si>
    <t>B7 - Felhalmozási célú átvett pénzeszköz</t>
  </si>
  <si>
    <t>B8111 - Hosszú lejáratú hitelek, kölcsönök felvétele</t>
  </si>
  <si>
    <t>B811 - Hitel-, kölcsöfelévtel Áht-n kívülről</t>
  </si>
  <si>
    <t>B8131 - Előző év költségvetési maradvány igénybevétele</t>
  </si>
  <si>
    <t>B813 - Maradvány igénybevétele</t>
  </si>
  <si>
    <t>B814 - Áht-n belüli megelőlegezések</t>
  </si>
  <si>
    <t>B816 - Irányító szervi támogatás</t>
  </si>
  <si>
    <t>B81 - Belföldi finanszírozás bevétele</t>
  </si>
  <si>
    <t>B8 - Finanszírozási bevételek</t>
  </si>
  <si>
    <t>BEVÉTELEK</t>
  </si>
  <si>
    <t>Önkormányzatok és önkormányzati hivatalok jogalkotási ás általános igazgatási tevékenysége (011130/999000)</t>
  </si>
  <si>
    <t>K1101 - Törvény szerinti illetmények, munkabérek</t>
  </si>
  <si>
    <t>K1107 - Béren kívüli juttatás (cafeteria)</t>
  </si>
  <si>
    <t>K122 - Munkavégzésre irányuló egyéb jogviszonyban nem saját foglalkoztatottnak fizetett juttatások</t>
  </si>
  <si>
    <t>K21 - Szociális hozzájárulási adó</t>
  </si>
  <si>
    <t>K27 - Munkáltatót terhelő személyi jövedelemadó (cafeteria, reprezentáció, céges telefon)</t>
  </si>
  <si>
    <t>K3116 - Egyéb szakmai anyag</t>
  </si>
  <si>
    <t>K3122 - Irodaszer, nyomtatványok</t>
  </si>
  <si>
    <t>K3125 - Munka- és védőruha</t>
  </si>
  <si>
    <t xml:space="preserve">K321 - Informatikai szolgáltatások igénybevétele </t>
  </si>
  <si>
    <t>K322 - Egyéb kommunikációs szolgáltatások (telefon, fax, mobil)</t>
  </si>
  <si>
    <t>K3411 - Foglalkoztatottak és választott tisztségviselők kiküldetései</t>
  </si>
  <si>
    <t>K351 - Működési célú áfa</t>
  </si>
  <si>
    <t>K3556 - Egyéb dologi kiadások (kötbér, késedelmi kamat)</t>
  </si>
  <si>
    <t>K63 - Informatikai eszközök beszerzése</t>
  </si>
  <si>
    <t>B402 - Szolgáltatások ellenértéke</t>
  </si>
  <si>
    <t>B403 - Közvetített szolgáltatások ellenértéke</t>
  </si>
  <si>
    <t>B74 - Egyéb felhalmozási célú kölcsön visszatérítése</t>
  </si>
  <si>
    <t>Megnevezés</t>
  </si>
  <si>
    <t>Önkormányzat</t>
  </si>
  <si>
    <t>01</t>
  </si>
  <si>
    <t>Feladat megnevezése</t>
  </si>
  <si>
    <t>Összes bevétel, kiadás</t>
  </si>
  <si>
    <t>Száma</t>
  </si>
  <si>
    <t>Előirányzat-csoport, kiemelt előirányzat megnevezése</t>
  </si>
  <si>
    <t>Bevételek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</si>
  <si>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</si>
  <si>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</si>
  <si>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</si>
  <si>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</si>
  <si>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</si>
  <si>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</si>
  <si>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</si>
  <si>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</si>
  <si>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</si>
  <si>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</si>
  <si>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</si>
  <si>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</si>
  <si>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</si>
  <si>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</si>
  <si>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</si>
  <si>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</si>
  <si>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</si>
  <si>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</si>
  <si>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</si>
  <si>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</si>
  <si>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</si>
  <si>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</si>
  <si>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</si>
  <si>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</si>
  <si>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</si>
  <si>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</si>
  <si>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</si>
  <si>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</si>
  <si>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</si>
  <si>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</si>
  <si>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</si>
  <si>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</si>
  <si>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</si>
  <si>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</si>
  <si>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</si>
  <si>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</si>
  <si>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</si>
  <si>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</si>
  <si>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</si>
  <si>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</si>
  <si>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</si>
  <si>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</si>
  <si>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</si>
  <si>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</si>
  <si>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</si>
  <si>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4.1.1.</t>
  </si>
  <si>
    <t>- Vagyoni típusú adók</t>
  </si>
  <si>
    <t>4.1.2.</t>
  </si>
  <si>
    <t>4.2.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</si>
  <si>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</si>
  <si>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</si>
  <si>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</si>
  <si>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</si>
  <si>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</si>
  <si>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</si>
  <si>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</si>
  <si>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</si>
  <si>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</si>
  <si>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</si>
  <si>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</si>
  <si>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</si>
  <si>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</si>
  <si>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</si>
  <si>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</si>
  <si>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</si>
  <si>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</si>
  <si>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</si>
  <si>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</si>
  <si>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</si>
  <si>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</si>
  <si>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</si>
  <si>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</si>
  <si>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</si>
  <si>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</si>
  <si>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</si>
  <si>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</si>
  <si>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</si>
  <si>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</si>
  <si>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</si>
  <si>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</si>
  <si>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</si>
  <si>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</si>
  <si>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</si>
  <si>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</si>
  <si>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</si>
  <si>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</si>
  <si>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</si>
  <si>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</si>
  <si>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</si>
  <si>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</si>
  <si>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</si>
  <si>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</si>
  <si>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</si>
  <si>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</si>
  <si>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</si>
  <si>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</si>
  <si>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</si>
  <si>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</si>
  <si>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</si>
  <si>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</si>
  <si>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</si>
  <si>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</si>
  <si>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</si>
  <si>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</si>
  <si>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</si>
  <si>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</si>
  <si>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</si>
  <si>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</si>
  <si>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</si>
  <si>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</si>
  <si>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</si>
  <si>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</si>
  <si>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</si>
  <si>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</si>
  <si>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</si>
  <si>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</si>
  <si>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</si>
  <si>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</si>
  <si>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</si>
  <si>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</si>
  <si>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</si>
  <si>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</si>
  <si>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</si>
  <si>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</si>
  <si>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</si>
  <si>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</si>
  <si>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</si>
  <si>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</si>
  <si>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</si>
  <si>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</si>
  <si>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</si>
  <si>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</si>
  <si>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</si>
  <si>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</si>
  <si>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</si>
  <si>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</si>
  <si>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</si>
  <si>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</si>
  <si>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</si>
  <si>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</si>
  <si>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</si>
  <si>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</si>
  <si>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</si>
  <si>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</si>
  <si>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</si>
  <si>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</si>
  <si>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</si>
  <si>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</si>
  <si>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</si>
  <si>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</si>
  <si>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</si>
  <si>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</si>
  <si>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BEVÉTELEK ÖSSZESEN: (9+16)</t>
  </si>
  <si>
    <t>Kiadások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</si>
  <si>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</si>
  <si>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</si>
  <si>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Dologi  kiadások</t>
  </si>
  <si>
    <t>1.5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</si>
  <si>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</si>
  <si>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</si>
  <si>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</si>
  <si>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</si>
  <si>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</si>
  <si>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</si>
  <si>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</si>
  <si>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</si>
  <si>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</si>
  <si>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</si>
  <si>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</si>
  <si>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</si>
  <si>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</si>
  <si>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</si>
  <si>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</si>
  <si>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</si>
  <si>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</si>
  <si>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</si>
  <si>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</si>
  <si>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</si>
  <si>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</si>
  <si>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</si>
  <si>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</si>
  <si>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</si>
  <si>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</si>
  <si>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</si>
  <si>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</si>
  <si>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</si>
  <si>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</si>
  <si>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</si>
  <si>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</si>
  <si>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</si>
  <si>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</si>
  <si>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</si>
  <si>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</si>
  <si>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</si>
  <si>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</si>
  <si>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</si>
  <si>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</si>
  <si>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</si>
  <si>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</si>
  <si>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</si>
  <si>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</si>
  <si>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</si>
  <si>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</si>
  <si>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</si>
  <si>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</si>
  <si>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</si>
  <si>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</si>
  <si>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</si>
  <si>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</si>
  <si>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</si>
  <si>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Központi irányítószervi támogatás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</si>
  <si>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</si>
  <si>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</si>
  <si>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</si>
  <si>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</si>
  <si>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</si>
  <si>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</si>
  <si>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</si>
  <si>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</si>
  <si>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</si>
  <si>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</si>
  <si>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</si>
  <si>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</si>
  <si>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</si>
  <si>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</si>
  <si>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I. Működési célú bevételek és kiadások mérlege
(Önkormányzati szinten)</t>
  </si>
  <si>
    <t>Sor-
szám</t>
  </si>
  <si>
    <t>Önkormányzatok működési támogatásai</t>
  </si>
  <si>
    <t>Működési célú támogatások államháztartáson belülről</t>
  </si>
  <si>
    <t>2.-ból EU-s támogatás</t>
  </si>
  <si>
    <t xml:space="preserve">Dologi kiadások 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</si>
  <si>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</si>
  <si>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</si>
  <si>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</si>
  <si>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</si>
  <si>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</si>
  <si>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</si>
  <si>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</si>
  <si>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</si>
  <si>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</si>
  <si>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</si>
  <si>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</si>
  <si>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</si>
  <si>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</si>
  <si>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</si>
  <si>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</si>
  <si>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</si>
  <si>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</si>
  <si>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</si>
  <si>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</si>
  <si>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</si>
  <si>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</si>
  <si>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</si>
  <si>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</si>
  <si>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</si>
  <si>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</si>
  <si>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</si>
  <si>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</si>
  <si>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</si>
  <si>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</si>
  <si>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</si>
  <si>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</si>
  <si>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</si>
  <si>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</si>
  <si>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</si>
  <si>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</si>
  <si>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</si>
  <si>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</si>
  <si>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</si>
  <si>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</si>
  <si>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</si>
  <si>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</si>
  <si>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</si>
  <si>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</si>
  <si>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</si>
  <si>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</si>
  <si>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</si>
  <si>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</si>
  <si>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</si>
  <si>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</si>
  <si>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</si>
  <si>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</si>
  <si>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</si>
  <si>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</si>
  <si>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</si>
  <si>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</si>
  <si>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</si>
  <si>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</si>
  <si>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</si>
  <si>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</si>
  <si>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</si>
  <si>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</si>
  <si>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</si>
  <si>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</si>
  <si>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</si>
  <si>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</si>
  <si>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</si>
  <si>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</si>
  <si>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</si>
  <si>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</si>
  <si>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</si>
  <si>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</si>
  <si>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</si>
  <si>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</si>
  <si>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</si>
  <si>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</si>
  <si>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</si>
  <si>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Sor-szám</t>
  </si>
  <si>
    <t>MEGNEVEZÉS</t>
  </si>
  <si>
    <t>Évek</t>
  </si>
  <si>
    <t>Összesen
(6=3+4+5)</t>
  </si>
  <si>
    <t>ÖSSZES KÖTELEZETTSÉG</t>
  </si>
  <si>
    <t>Bevételi jogcímek</t>
  </si>
  <si>
    <t>Helyi adók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</si>
  <si>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</si>
  <si>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</si>
  <si>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</si>
  <si>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</si>
  <si>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</si>
  <si>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ÖSSZESEN*</t>
  </si>
  <si>
    <t>Felújítási kiadások előirányzata felújításonként</t>
  </si>
  <si>
    <t>Felújítás  megnevezése</t>
  </si>
  <si>
    <t>Teljes költség</t>
  </si>
  <si>
    <t>Kivitelezés kezdési és befejezési éve</t>
  </si>
  <si>
    <t>ÖSSZESEN:</t>
  </si>
  <si>
    <t>Felhalmozási célú átvett pénzeszközök</t>
  </si>
  <si>
    <t>Szakfeladat</t>
  </si>
  <si>
    <t>Általános</t>
  </si>
  <si>
    <t>működési tartalék</t>
  </si>
  <si>
    <t>működésre</t>
  </si>
  <si>
    <t>felhalmozásra</t>
  </si>
  <si>
    <t>Önkormányzat összesen</t>
  </si>
  <si>
    <t>Többéves kihatással járó döntések számszerűsítése évenkénti bontásban és összesítve célok szerint</t>
  </si>
  <si>
    <t>Kötelezettség jogcíme</t>
  </si>
  <si>
    <t>Köt. váll.
 éve</t>
  </si>
  <si>
    <t>Kiadás vonzata évenként</t>
  </si>
  <si>
    <t>9=(4+5+6+7+8)</t>
  </si>
  <si>
    <t>Működési célú finanszírozási kiadások
(hiteltörlesztés, értékpapír vásárlás, stb.)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</si>
  <si>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</si>
  <si>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</si>
  <si>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</si>
  <si>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</si>
  <si>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</si>
  <si>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</si>
  <si>
    <t>Beruházási (felhalmozási) kiadások előirányzata beruházásonként</t>
  </si>
  <si>
    <t>Beruházás  megnevezése</t>
  </si>
  <si>
    <t>6=(2-4-5)</t>
  </si>
  <si>
    <t>Adatszolgáltatás 
az elismert tartozásállományról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</si>
  <si>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</si>
  <si>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</si>
  <si>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</si>
  <si>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</si>
  <si>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</si>
  <si>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</si>
  <si>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</si>
  <si>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Összesen: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</si>
  <si>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</si>
  <si>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</si>
  <si>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</si>
  <si>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</si>
  <si>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</si>
  <si>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költségvetési szerv vezetője</t>
  </si>
  <si>
    <t>Támogatott szervezet neve</t>
  </si>
  <si>
    <t>Támogatás célja</t>
  </si>
  <si>
    <t>- Gépjárműadó</t>
  </si>
  <si>
    <t>4.1.3.</t>
  </si>
  <si>
    <t>- Értékesítési és fogyasztási adó</t>
  </si>
  <si>
    <t>4.1.4.</t>
  </si>
  <si>
    <t>Helyi adók  (4.1.1.+….+4.1.4.)</t>
  </si>
  <si>
    <t>Áht. Belüli megelőlegezés visszafizetése</t>
  </si>
  <si>
    <t>Ssz.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</si>
  <si>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</si>
  <si>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</si>
  <si>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</si>
  <si>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</si>
  <si>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</si>
  <si>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</si>
  <si>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</si>
  <si>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</si>
  <si>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</si>
  <si>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</si>
  <si>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</si>
  <si>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</si>
  <si>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Működési célú támogatások ÁH-on belül</t>
  </si>
  <si>
    <t>Felhalmozási célú támogatások ÁH-on belül</t>
  </si>
  <si>
    <t>Bevételek összesen:</t>
  </si>
  <si>
    <t xml:space="preserve"> Egyéb működési célú kiadások</t>
  </si>
  <si>
    <t>Kiadások összesen:</t>
  </si>
  <si>
    <t>Egyenleg</t>
  </si>
  <si>
    <t>Az önkormányzat által adott közvetett támogatások
(kedvezmények)</t>
  </si>
  <si>
    <t>Bevételi jogcím</t>
  </si>
  <si>
    <t>Kedvezmény nélkül elérhető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</si>
  <si>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</si>
  <si>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</si>
  <si>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</si>
  <si>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</si>
  <si>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</si>
  <si>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</si>
  <si>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</si>
  <si>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</si>
  <si>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</si>
  <si>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</si>
  <si>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</si>
  <si>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</si>
  <si>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mentesség</t>
  </si>
  <si>
    <t>Eszközök hasznosítása utáni kedvezmény, mentesség</t>
  </si>
  <si>
    <t>Egyéb kedvezmény</t>
  </si>
  <si>
    <t>Egyéb kölcsön elengedése</t>
  </si>
  <si>
    <t xml:space="preserve">Talajterhelési díj után </t>
  </si>
  <si>
    <t xml:space="preserve">K1106 - Jubileumi jutalom </t>
  </si>
  <si>
    <t xml:space="preserve">K123 - Egyéb külső személyi juttatások (Reprezentáció, céges telefon) </t>
  </si>
  <si>
    <t>K353 - Kamatkiadások</t>
  </si>
  <si>
    <t>K3555 - Kötelező jellegű díjak (közbeszerzés díja, műszaki vizsgáztatás, hatósági díjak)autópálya haszn díj</t>
  </si>
  <si>
    <t>4.1.5.</t>
  </si>
  <si>
    <t>- Egyéb áruhasználati és szolgáltatási adók</t>
  </si>
  <si>
    <t>- Jövedelemadó</t>
  </si>
  <si>
    <t xml:space="preserve">Éves eredeti kiadási előirányzat: </t>
  </si>
  <si>
    <t>30 napon túli elismert tartozásállomány összesen:</t>
  </si>
  <si>
    <t>Nyitó pénzkészlet</t>
  </si>
  <si>
    <t>-----</t>
  </si>
  <si>
    <t>Ellátottak pénzbeli juttatása</t>
  </si>
  <si>
    <t>Egyenleg (11-21)</t>
  </si>
  <si>
    <t>K1113 - Foglalkoztatottak egyéb személyi juttatásai</t>
  </si>
  <si>
    <t>K1110 - Egyéb költségtérítés (bank, szemüveg)</t>
  </si>
  <si>
    <t>Adó</t>
  </si>
  <si>
    <t>K3115 - Elektronikus információ hordozók  (jogtár)</t>
  </si>
  <si>
    <t xml:space="preserve">K334 - Karbantartás és kisjavítási szolgáltatások </t>
  </si>
  <si>
    <t>Különbözet</t>
  </si>
  <si>
    <t>Kötelező feladatok bevétele, kiadása</t>
  </si>
  <si>
    <t>Önként vállalt feladatok bevétele, kiadása</t>
  </si>
  <si>
    <t>Önkormányzatok funkcióira nem sorolható bevétel Áht kívülről (900020/999000)</t>
  </si>
  <si>
    <t>Közművelődés - közösségi és társadalmi részvétel fejlesztése (082091/910501)</t>
  </si>
  <si>
    <t>Önkormányzatok elszámolása központi költségvetéssel (018010/999000)</t>
  </si>
  <si>
    <t>Támgatási célú finanszírozási műveletek (018030/999000)</t>
  </si>
  <si>
    <t>Köztemető fenntartása és működtetése (013320/960302)</t>
  </si>
  <si>
    <t>Közvilágítás (064010/999000)</t>
  </si>
  <si>
    <t>Fogorvosi alapellátás (072311/862301)</t>
  </si>
  <si>
    <t>Fogorvosi ügyeleti ellátás (072312/862302)</t>
  </si>
  <si>
    <t>Háziorvosi ügyeleti ellátás (072112/999000)</t>
  </si>
  <si>
    <t>Civil szervezetek működési támogatása (084031/999000)</t>
  </si>
  <si>
    <t>Szociális étkeztetés (107051/889921)</t>
  </si>
  <si>
    <t>Egyéb szociális pénzbeli és természetbeni ellátások, támogatások (107060/999000)</t>
  </si>
  <si>
    <t>Forgatási és befektetési célú finanszírozási műveletek (900060/999000)</t>
  </si>
  <si>
    <t xml:space="preserve">K3126 - Egyéb anyag:tisztítószerek, elem, festék karbantartási anyagok, egyéb </t>
  </si>
  <si>
    <t xml:space="preserve"> </t>
  </si>
  <si>
    <t xml:space="preserve">K3213 - Informatikai eszközök bérleti, karbantartása </t>
  </si>
  <si>
    <t xml:space="preserve">K3217 - Számítógépek közötti adatátviteli célú távközlési kapcsolatok </t>
  </si>
  <si>
    <t>K3361 - Egészségügyi, okatási, szociális, útüzemeltetési, környezetvédelmi szolgáltatások</t>
  </si>
  <si>
    <t xml:space="preserve">K337 - Egyéb szolgáltatások </t>
  </si>
  <si>
    <t xml:space="preserve">K4215 - Egyéb pénzbeli és természetbeni gyermekvédelmi támogatások </t>
  </si>
  <si>
    <t>K513 - Tartalékok</t>
  </si>
  <si>
    <t>K512 - Egyéb működési célú támogatások Áht-n kívülre</t>
  </si>
  <si>
    <t>K506 - Egyéb működési célú támogatások Áht belülre</t>
  </si>
  <si>
    <t>Kiemelt állami és önkormányzati rendezvények (016080/999000)</t>
  </si>
  <si>
    <t xml:space="preserve">K3113 - Papír alapú könyvek, folyóiratok </t>
  </si>
  <si>
    <t>Házisegítségnyújtás (107052/889922)</t>
  </si>
  <si>
    <t xml:space="preserve">K3362 - Más szakmai jellegű szolgáltatás </t>
  </si>
  <si>
    <t>B344 - Telekadó</t>
  </si>
  <si>
    <t xml:space="preserve">K64 - Egyéb tárgyi eszközök beszerzése </t>
  </si>
  <si>
    <t>K62 - Ingatlan beruházás</t>
  </si>
  <si>
    <t>Forintban !</t>
  </si>
  <si>
    <t>Hitel felvétel</t>
  </si>
  <si>
    <t>Megelőző évek</t>
  </si>
  <si>
    <t>Forintban</t>
  </si>
  <si>
    <t xml:space="preserve"> Forintban !</t>
  </si>
  <si>
    <t>Forintban!</t>
  </si>
  <si>
    <t>Kötetlen</t>
  </si>
  <si>
    <t>Keret</t>
  </si>
  <si>
    <t>Támogatás összge 
(Ft)</t>
  </si>
  <si>
    <t>Hiteltörlesztés</t>
  </si>
  <si>
    <t>Éves engedélyezett létszám előirányzat (fő)</t>
  </si>
  <si>
    <t>Közfoglalkoztatottak létszáma (fő)</t>
  </si>
  <si>
    <t>Hosszabbtávú közfoglalkoztatás (041233/999000)</t>
  </si>
  <si>
    <t>2019</t>
  </si>
  <si>
    <t>MÁK megelőlegezés</t>
  </si>
  <si>
    <t>~</t>
  </si>
  <si>
    <t>Egyéb tartozásállomány (szállító)</t>
  </si>
  <si>
    <t>Óvodai nevelés, ellátás szakmai feladatai (091110/999000)</t>
  </si>
  <si>
    <t>Sajátos nevelési igényű gyermekek óvodai nevelése (0911120/999000)</t>
  </si>
  <si>
    <t>Óvodai nevelés működtetése (091140/999000)</t>
  </si>
  <si>
    <t>Támogatási célú finanszírozási műveletek (018030/999000)</t>
  </si>
  <si>
    <t>Óvoda</t>
  </si>
  <si>
    <t xml:space="preserve">K3115 - Elektronikus információ hordozók </t>
  </si>
  <si>
    <t>K3555 - Kötelező jellegű díjak</t>
  </si>
  <si>
    <t>K508 - Működési célú visszatérítendő támogatások, kölcsönök nyújtása Áht-n kívülre</t>
  </si>
  <si>
    <t>K511 - Egyéb működési célú támogatások Áht-n kívülre</t>
  </si>
  <si>
    <t>K512 - Tartalékok</t>
  </si>
  <si>
    <t xml:space="preserve">B411 - Egyéb működési bevétel </t>
  </si>
  <si>
    <t>B411 - Egyéb működési bevételek</t>
  </si>
  <si>
    <t>2020 költségvetés
(Ft)</t>
  </si>
  <si>
    <t>Győrsági Kincseskert Óvoda és Konyha</t>
  </si>
  <si>
    <t>Győrság Község Önkormányzata</t>
  </si>
  <si>
    <t>Étkeztetés (több kormányzati funkció)</t>
  </si>
  <si>
    <t>Franciáné Németh Éva</t>
  </si>
  <si>
    <t>Gede Zsoltné</t>
  </si>
  <si>
    <t>Kovács Zoltánné Tóth Irén</t>
  </si>
  <si>
    <t>Keresztényné Kriskó Ibolya</t>
  </si>
  <si>
    <t>Szűcs Józsefné</t>
  </si>
  <si>
    <t>Kovács Ferencné</t>
  </si>
  <si>
    <t>Éles Melina</t>
  </si>
  <si>
    <t>Kollár Kálmánné</t>
  </si>
  <si>
    <t>Szabó Rita</t>
  </si>
  <si>
    <t>Új dolgozó</t>
  </si>
  <si>
    <t>K24 - Egészségügyi hozzájárulás</t>
  </si>
  <si>
    <t>K3116 - Egyéb szakmai anyag
(Eszközök gondozási feladathoz)</t>
  </si>
  <si>
    <t>K27 - Munkáltatót terhelő személyi jövedelemadó 
(cafeteria, reprezentáció, céges telefon)</t>
  </si>
  <si>
    <t>K1110 - Egyéb költségtérítés 
(telefon, banki … stb)</t>
  </si>
  <si>
    <t>K3213 - Informatikai eszközök bérleti, karbantartása 
(Fax, nyomtatók karbantartása)</t>
  </si>
  <si>
    <t>K3217 - Számítógépek közötti adatátviteli célú távközlési kapcsolatok 
(internet előfizetés )</t>
  </si>
  <si>
    <t>K337 - Egyéb szolgáltatások 
(Bank ktg, szemét szállítás, Posta, Egyéb üzemeltetési szolgáltatás)</t>
  </si>
  <si>
    <t>K3556 - Egyéb dologi kiadások 
(kötbér, késedelmi kamat)</t>
  </si>
  <si>
    <t>K4215 - Egyéb pénzbeli és természetbeni gyermekvédelmi támogatások</t>
  </si>
  <si>
    <t>Óvoda bevétele</t>
  </si>
  <si>
    <t>Óvoda kiadása</t>
  </si>
  <si>
    <t>Állami támogatás</t>
  </si>
  <si>
    <t>Szükséges önkormányzati hozzájárulás</t>
  </si>
  <si>
    <t>Konyha bevétele</t>
  </si>
  <si>
    <t>Konyha kiadása</t>
  </si>
  <si>
    <t>Támogatott étkezés</t>
  </si>
  <si>
    <t>Szünidei étkezés</t>
  </si>
  <si>
    <t>Kontroll</t>
  </si>
  <si>
    <t>Vállalkozási étkezés (vendég, bölcsőde, szociális)</t>
  </si>
  <si>
    <t>K332 - Vásárolt élelmezés (+4%)</t>
  </si>
  <si>
    <t>Út, autópálya építése, fenntartása (045120, 045160/999000)</t>
  </si>
  <si>
    <t>Könyvtári szolgáltatások (082044/999000)
Antalné Császár Katalin</t>
  </si>
  <si>
    <t>Baán-Bóka Katalin</t>
  </si>
  <si>
    <t>K1102 - Jutalom</t>
  </si>
  <si>
    <t>Család és nővédelmi eü gondozás (074031/999000)</t>
  </si>
  <si>
    <t>Ifjúság eü gondozás (074032/999000)
Balogh Mária</t>
  </si>
  <si>
    <t>Bazsóné Horváth Zsuzsanna</t>
  </si>
  <si>
    <t>Farkas Bálintné</t>
  </si>
  <si>
    <t>Farkas Éva Ilona</t>
  </si>
  <si>
    <t>Ferenczi Zsolt</t>
  </si>
  <si>
    <t>Ifj. Tolnai István</t>
  </si>
  <si>
    <t>Kovács Gyula</t>
  </si>
  <si>
    <t>Háziorvosi alapellátás (072111/999000)
Mészáros Antalné</t>
  </si>
  <si>
    <t>Tanyagondnoki szolgáltatás (107055/)
Pethő Péter Zoltán</t>
  </si>
  <si>
    <t>Zöldterület kezelés (066010/813000)
Bíró Richárd</t>
  </si>
  <si>
    <t>Samodai Dóra</t>
  </si>
  <si>
    <t>Város-, községgazdálkodás (066020/999000)
VasiFodorné Kiss Anita (2019.12. hó)
Mészáros Antalné - kiegészítő (2019.12 hó)</t>
  </si>
  <si>
    <t>Szalainé Hernicz Beáta Ágnes</t>
  </si>
  <si>
    <t>Pintér István Antal</t>
  </si>
  <si>
    <t>Önkormányzati vagyonnal való gazdálkodás (013350/680001)
Lakás célú</t>
  </si>
  <si>
    <t>Önkormányzati vagyonnal való gazdálkodás (013350/680002)
Nem lakás célú</t>
  </si>
  <si>
    <t>Egyházak közösségi és hitéleti tevékenységének támogatása
 (084040/999000)</t>
  </si>
  <si>
    <t>Érdekképviseleti, szakszervezeti tevékenységek támogatása
 (084060/999000)</t>
  </si>
  <si>
    <t>Nemzetközi kulturális együttműködés
 (086030/999000)</t>
  </si>
  <si>
    <t>Továbbképzés költsége (kötelező)</t>
  </si>
  <si>
    <t>Logopédiai díj (várhatóan több óraszám miatt)</t>
  </si>
  <si>
    <t>Orvosi alkalmassági vizsgálat (kötelező)</t>
  </si>
  <si>
    <t>Kiküldetés (továbbképzésekre, egyéb)</t>
  </si>
  <si>
    <t>Szakmai anyag kiegészítés</t>
  </si>
  <si>
    <t>Textíliák</t>
  </si>
  <si>
    <t>Székpárnák</t>
  </si>
  <si>
    <t>Irodaszer kiegészítés</t>
  </si>
  <si>
    <t>Előadók díja</t>
  </si>
  <si>
    <t>Szekrény 1 db (Nyuszi csoport - nagy szekrény)</t>
  </si>
  <si>
    <t>Szekrény 1 db (Őzike csoport - kisszekrény)</t>
  </si>
  <si>
    <t>Redőnyök</t>
  </si>
  <si>
    <t>Kerékpár tároló</t>
  </si>
  <si>
    <t>K3217 - Számítógépek közötti adatátviteli célú távközlési kapcsolatok 
(Hir-Stat - internet, Magyar Telekom - internet)</t>
  </si>
  <si>
    <t>K3351 - Közvetített szolgáltatások Áht-n belül
(Óvoda telefon továbbszámlázás)</t>
  </si>
  <si>
    <t>K3213 - Informatikai eszközök bérleti, karbantartása 
(Ecoffice Kft. - másolati díj, E-szoft - adatmegőrzés, MOD - munkadíj, Deltatrade - védőnői program)</t>
  </si>
  <si>
    <t>K337 - Egyéb szolgáltatások 
(Autópályadíj, egyéb rendezvényi szolgáltatások, tűzvédelem, Lechner - tul.lapok, posta ktg, bank ktg, hitel ktg, hulladék szállítás, egyéb szállítás, riasztó felügyelet, egyéb szolgáltatási kiadás, biztosítás)</t>
  </si>
  <si>
    <r>
      <t xml:space="preserve">K506 - Egyéb működési célú támogatások Áht belülre
</t>
    </r>
    <r>
      <rPr>
        <sz val="11"/>
        <color theme="1"/>
        <rFont val="Calibri"/>
        <family val="2"/>
        <charset val="238"/>
        <scheme val="minor"/>
      </rPr>
      <t>Járóbeteg szakellátás (2018-2019 év)
Gyepmesteri társulási díj, Hulladékgazdálkodási társulás átadás, Bursa ösztöndíj</t>
    </r>
  </si>
  <si>
    <r>
      <t xml:space="preserve">K512 - Egyéb működési célú támogatások Áht-n kívülre
</t>
    </r>
    <r>
      <rPr>
        <sz val="11"/>
        <color theme="1"/>
        <rFont val="Calibri"/>
        <family val="2"/>
        <charset val="238"/>
        <scheme val="minor"/>
      </rPr>
      <t>(MÖSZ - tagdíj, Leader tagdíj, Vizi társulati tagdíj, civil szervezetek támogatás, egyházi szervezetek támogatása)</t>
    </r>
  </si>
  <si>
    <t xml:space="preserve">K3362 - Más szakmai jellegű szolgáltatás 
(Lechner - tulajdoni lapok, Ani-Vali - könyvelés, Deák T. - vagyonnyilvántartás, Megoldás - belső ellenőrzés, pályázat írás, egyéb szakmai dokumentum készítés, munkavédelem, projekt menedzsment) </t>
  </si>
  <si>
    <r>
      <t xml:space="preserve">K71 - Ingatlanok felújítása
</t>
    </r>
    <r>
      <rPr>
        <sz val="11"/>
        <color theme="1"/>
        <rFont val="Calibri"/>
        <family val="2"/>
        <charset val="238"/>
        <scheme val="minor"/>
      </rPr>
      <t>(Ravatalozó felújítása, Lalka u. felújítása, egyéb járda felújítás-saját forrásból, iskola felújítási keret, színpad felújítás)</t>
    </r>
  </si>
  <si>
    <r>
      <t xml:space="preserve">K62 - Ingatlan beruházás
</t>
    </r>
    <r>
      <rPr>
        <sz val="11"/>
        <color theme="1"/>
        <rFont val="Calibri"/>
        <family val="2"/>
        <charset val="238"/>
        <scheme val="minor"/>
      </rPr>
      <t>(Telkek kialakítása)</t>
    </r>
  </si>
  <si>
    <t>K5023 - pályázati visszafizetési kötelezettség</t>
  </si>
  <si>
    <t>Lakáshoz jutást segítő támogatás (061030/999000)</t>
  </si>
  <si>
    <r>
      <t xml:space="preserve">B402 - Szolgáltatások ellenértéke
</t>
    </r>
    <r>
      <rPr>
        <sz val="11"/>
        <rFont val="Calibri"/>
        <family val="2"/>
        <charset val="238"/>
      </rPr>
      <t>(Lakbér, terembérlet, pincebérlet, közterülethasználati díj, fűnyírás és egyéb szolgáltatások)</t>
    </r>
  </si>
  <si>
    <r>
      <t xml:space="preserve">K513 - Tartalékok
</t>
    </r>
    <r>
      <rPr>
        <sz val="11"/>
        <color theme="1"/>
        <rFont val="Calibri"/>
        <family val="2"/>
        <charset val="238"/>
        <scheme val="minor"/>
      </rPr>
      <t>(Háziorvosi támogatás többlet - 4.072.552 Ft,
Általános tartalék - 5.000.000)</t>
    </r>
  </si>
  <si>
    <t>K334 - Karbantartás és kisjavítási szolgáltatások
(Udavari játékok karbantartás, egyéb)</t>
  </si>
  <si>
    <t>K3362 - Más szakmai jellegű szolgáltatás (előadói díj)</t>
  </si>
  <si>
    <t>K62 - Ingatlan létesítése</t>
  </si>
  <si>
    <r>
      <t xml:space="preserve">K64 - Egyéb tárgyi eszközök beszerzése
</t>
    </r>
    <r>
      <rPr>
        <sz val="11"/>
        <color theme="1"/>
        <rFont val="Calibri"/>
        <family val="2"/>
        <charset val="238"/>
        <scheme val="minor"/>
      </rPr>
      <t>(</t>
    </r>
    <r>
      <rPr>
        <u/>
        <sz val="11"/>
        <color indexed="8"/>
        <rFont val="Calibri"/>
        <family val="2"/>
        <charset val="238"/>
      </rPr>
      <t>Konyha:</t>
    </r>
    <r>
      <rPr>
        <sz val="11"/>
        <color theme="1"/>
        <rFont val="Calibri"/>
        <family val="2"/>
        <charset val="238"/>
        <scheme val="minor"/>
      </rPr>
      <t xml:space="preserve"> edények, mákdaráló, egyéb eszközök
</t>
    </r>
    <r>
      <rPr>
        <u/>
        <sz val="11"/>
        <color indexed="8"/>
        <rFont val="Calibri"/>
        <family val="2"/>
        <charset val="238"/>
      </rPr>
      <t>Óvoda:</t>
    </r>
    <r>
      <rPr>
        <sz val="11"/>
        <color theme="1"/>
        <rFont val="Calibri"/>
        <family val="2"/>
        <charset val="238"/>
        <scheme val="minor"/>
      </rPr>
      <t xml:space="preserve"> játékok, fektetők, szekrények,)</t>
    </r>
  </si>
  <si>
    <t>Kiegészítés alapköltségvetéshez (a fenti költségvetés tartalmazza)</t>
  </si>
  <si>
    <r>
      <rPr>
        <u/>
        <sz val="11"/>
        <color indexed="8"/>
        <rFont val="Calibri"/>
        <family val="2"/>
        <charset val="238"/>
      </rPr>
      <t xml:space="preserve">Egyéb költség nélküli kérés: </t>
    </r>
    <r>
      <rPr>
        <sz val="11"/>
        <color theme="1"/>
        <rFont val="Calibri"/>
        <family val="2"/>
        <charset val="238"/>
        <scheme val="minor"/>
      </rPr>
      <t xml:space="preserve">
Dolgozóknak egészségbiztosítási pénztár befizetés (saját fizetés + foglalkoztatói hozzájárulás)
Munkaruha biztosítása</t>
    </r>
  </si>
  <si>
    <t>B8131 - Előző év költségvetési maradvány igénybevétele
(Magyar Falu program, megelőlegezés - MÁK, 2019 normatív támogatás, TOP csapadékvíz, kiadás ellentételezés)</t>
  </si>
  <si>
    <t>K3121 - Élelmiszerek (2019*3% áremelés)</t>
  </si>
  <si>
    <t>K3126 - Egyéb anyag 
(tisztítószerek, elem, egyéb karbantartási anyagok)+3%</t>
  </si>
  <si>
    <t>Elszámolt</t>
  </si>
  <si>
    <t>Nyereséges</t>
  </si>
  <si>
    <t>Felhalmozási</t>
  </si>
  <si>
    <t>Működési</t>
  </si>
  <si>
    <t>Fektetők (2 csoportra-50 db) (Megbontható 2020 - 1 csoport, 2021 1 csoport)</t>
  </si>
  <si>
    <t>2020. évi eredeti előirányzat</t>
  </si>
  <si>
    <t>2020. évi módosított előirányzat</t>
  </si>
  <si>
    <t>Költségv.szerv megnevezése</t>
  </si>
  <si>
    <t>03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</si>
  <si>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</si>
  <si>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</si>
  <si>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</si>
  <si>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</si>
  <si>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</si>
  <si>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</si>
  <si>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</si>
  <si>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</si>
  <si>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</si>
  <si>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4.3.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</si>
  <si>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</si>
  <si>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</si>
  <si>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</si>
  <si>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</si>
  <si>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</si>
  <si>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</si>
  <si>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</si>
  <si>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</si>
  <si>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</si>
  <si>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</si>
  <si>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</si>
  <si>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</si>
  <si>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</si>
  <si>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</si>
  <si>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</si>
  <si>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Győrsági Kincseskert Óvoda és konyha</t>
  </si>
  <si>
    <t>1.1. melléklet a .../2020. (I…..) önkormányzati rendelethez</t>
  </si>
  <si>
    <t>2020. évi erdeti előirányzat</t>
  </si>
  <si>
    <t>Céltartalék (háziorvosi ellátás)</t>
  </si>
  <si>
    <t>K513 - Tartalékok
(Háziorvosi többlet támogatás - 4.072.552 Ft,
Általános tartalék esetleges vissza- kifizetésre - 5.000.000 Ft-1.310.000 Ft)</t>
  </si>
  <si>
    <t>7.1. melléklet a .../2020. (I…...) önkormányzati rendelethez</t>
  </si>
  <si>
    <t>8. számú melléklet a .../2020 (I…...) önkormányzati rendelethez</t>
  </si>
  <si>
    <t xml:space="preserve">
a 2020. évi tervezett tartalékokról</t>
  </si>
  <si>
    <t>7.2.1. melléklet a …./2020. (I…..) önkormányzati rendelethez</t>
  </si>
  <si>
    <t>7.2. melléklet a …./2020. (I…..) önkormányzati rendelethez</t>
  </si>
  <si>
    <t>7.1. 2. melléklet a .../2020. (I…...) önkormányzati rendelethez</t>
  </si>
  <si>
    <t>7.1.1 melléklet a .../2020. (I…...) önkormányzati rendelethez</t>
  </si>
  <si>
    <t>1.1.2 melléklet a …./2020. (I…..) önkormányzati rendelethez</t>
  </si>
  <si>
    <t>1.1.1 melléklet a …./2020. (I…..) önkormányzati rendelethez</t>
  </si>
  <si>
    <t>Győrság Község Önkormányzata adósságot keletkeztető ügyletekből és kezességvállalásokból fennálló kötelezettségei</t>
  </si>
  <si>
    <t>Győrság Község Önkormányzata saját bevételeinek részletezése az adósságot keletkeztető ügyletből származó tárgyévi fizetési kötelezettség megállapításához</t>
  </si>
  <si>
    <t>Győrság, 2020. január 21.</t>
  </si>
  <si>
    <t>2020</t>
  </si>
  <si>
    <t>Szekrények, eszközök, fektetők</t>
  </si>
  <si>
    <t>Konyhai eszközök</t>
  </si>
  <si>
    <t>Egyéb eszközök</t>
  </si>
  <si>
    <t>Új telkek kialakítása</t>
  </si>
  <si>
    <t>2020. évi előirányzat</t>
  </si>
  <si>
    <t>Felhasználás
2019. XII.31-ig</t>
  </si>
  <si>
    <t xml:space="preserve">
2020. év utáni szükséglet</t>
  </si>
  <si>
    <t>Ravatalozó felújítása</t>
  </si>
  <si>
    <t>Iskola eszközfelújítás</t>
  </si>
  <si>
    <t>Lalka utca felújítása</t>
  </si>
  <si>
    <t>Színpadfelújítás</t>
  </si>
  <si>
    <t>Önerős járda felújítás</t>
  </si>
  <si>
    <t>Előirányzat-felhasználási terv
2020. évre</t>
  </si>
  <si>
    <t>Magyar Államkincstár megelőlegezés</t>
  </si>
  <si>
    <t>2020 előtti kifizetés</t>
  </si>
  <si>
    <t>1. tájékoztató tábla</t>
  </si>
  <si>
    <t>Győrság Község Önkormányzat likviditási terve
2020. évre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</si>
</sst>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#,###"/>
    <numFmt numFmtId="166" formatCode="#,##0\ &quot;Ft&quot;"/>
  </numFmts>
  <fonts count="7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name val="Calibri"/>
      <family val="2"/>
      <charset val="238"/>
    </font>
    <font>
      <sz val="9"/>
      <name val="Times New Roman"/>
      <family val="1"/>
      <charset val="238"/>
    </font>
    <font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sz val="9"/>
      <name val="Times New Roman CE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i/>
      <sz val="10"/>
      <name val="Times New Roman CE"/>
      <family val="1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b/>
      <i/>
      <sz val="9"/>
      <name val="Times New Roman CE"/>
      <family val="1"/>
      <charset val="238"/>
    </font>
    <font>
      <sz val="10"/>
      <name val="MS Sans Serif"/>
      <family val="2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sz val="9"/>
      <name val="Times New Roman CE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i/>
      <sz val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MS Sans Serif"/>
      <family val="2"/>
      <charset val="238"/>
    </font>
    <font>
      <sz val="12"/>
      <color indexed="8"/>
      <name val="Times New Roman"/>
      <family val="1"/>
    </font>
    <font>
      <sz val="11"/>
      <name val="Times New Roman CE"/>
      <charset val="238"/>
    </font>
    <font>
      <b/>
      <i/>
      <sz val="12"/>
      <name val="Times New Roman CE"/>
      <family val="1"/>
      <charset val="238"/>
    </font>
    <font>
      <b/>
      <i/>
      <sz val="10"/>
      <name val="Times New Roman"/>
      <family val="1"/>
      <charset val="238"/>
    </font>
    <font>
      <sz val="11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sz val="12"/>
      <color rgb="FF0066FF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B0F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</font>
    <font>
      <b/>
      <i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Horizontal"/>
    </fill>
    <fill>
      <patternFill patternType="darkHorizontal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Horizontal"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33CC33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39" fillId="0" borderId="0"/>
    <xf numFmtId="0" fontId="13" fillId="0" borderId="0"/>
    <xf numFmtId="0" fontId="26" fillId="0" borderId="0"/>
    <xf numFmtId="0" fontId="26" fillId="0" borderId="0"/>
    <xf numFmtId="0" fontId="1" fillId="0" borderId="0"/>
    <xf numFmtId="9" fontId="10" fillId="0" borderId="0" applyFont="0" applyFill="0" applyBorder="0" applyAlignment="0" applyProtection="0"/>
  </cellStyleXfs>
  <cellXfs count="1890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2" fillId="0" borderId="4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62" fillId="0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2" borderId="2" xfId="0" applyNumberFormat="1" applyFill="1" applyBorder="1" applyAlignment="1">
      <alignment horizontal="left" vertical="center" wrapText="1"/>
    </xf>
    <xf numFmtId="0" fontId="63" fillId="0" borderId="2" xfId="0" applyFont="1" applyBorder="1" applyAlignment="1">
      <alignment vertical="center" wrapText="1"/>
    </xf>
    <xf numFmtId="0" fontId="61" fillId="0" borderId="2" xfId="0" applyFont="1" applyBorder="1" applyAlignment="1">
      <alignment vertical="center" wrapText="1"/>
    </xf>
    <xf numFmtId="0" fontId="61" fillId="0" borderId="3" xfId="0" applyFont="1" applyBorder="1" applyAlignment="1">
      <alignment vertical="center" wrapText="1"/>
    </xf>
    <xf numFmtId="0" fontId="64" fillId="0" borderId="6" xfId="0" applyFont="1" applyBorder="1" applyAlignment="1">
      <alignment vertical="center" wrapText="1"/>
    </xf>
    <xf numFmtId="0" fontId="63" fillId="0" borderId="1" xfId="0" applyFont="1" applyBorder="1" applyAlignment="1">
      <alignment vertical="center" wrapText="1"/>
    </xf>
    <xf numFmtId="0" fontId="64" fillId="0" borderId="4" xfId="0" applyFont="1" applyBorder="1" applyAlignment="1">
      <alignment vertical="center" wrapText="1"/>
    </xf>
    <xf numFmtId="0" fontId="63" fillId="0" borderId="5" xfId="0" applyFont="1" applyBorder="1" applyAlignment="1">
      <alignment vertical="center" wrapText="1"/>
    </xf>
    <xf numFmtId="0" fontId="65" fillId="5" borderId="6" xfId="0" applyFont="1" applyFill="1" applyBorder="1" applyAlignment="1">
      <alignment vertical="center" wrapText="1"/>
    </xf>
    <xf numFmtId="3" fontId="65" fillId="5" borderId="7" xfId="0" applyNumberFormat="1" applyFont="1" applyFill="1" applyBorder="1" applyAlignment="1">
      <alignment vertical="center"/>
    </xf>
    <xf numFmtId="3" fontId="65" fillId="5" borderId="8" xfId="0" applyNumberFormat="1" applyFont="1" applyFill="1" applyBorder="1" applyAlignment="1">
      <alignment vertical="center"/>
    </xf>
    <xf numFmtId="3" fontId="65" fillId="5" borderId="6" xfId="0" applyNumberFormat="1" applyFont="1" applyFill="1" applyBorder="1" applyAlignment="1">
      <alignment vertical="center"/>
    </xf>
    <xf numFmtId="0" fontId="0" fillId="6" borderId="0" xfId="0" applyFill="1"/>
    <xf numFmtId="3" fontId="14" fillId="7" borderId="9" xfId="0" applyNumberFormat="1" applyFont="1" applyFill="1" applyBorder="1" applyAlignment="1">
      <alignment vertical="center"/>
    </xf>
    <xf numFmtId="3" fontId="14" fillId="7" borderId="10" xfId="0" applyNumberFormat="1" applyFont="1" applyFill="1" applyBorder="1" applyAlignment="1">
      <alignment vertical="center"/>
    </xf>
    <xf numFmtId="3" fontId="14" fillId="7" borderId="11" xfId="0" applyNumberFormat="1" applyFont="1" applyFill="1" applyBorder="1" applyAlignment="1">
      <alignment vertical="center"/>
    </xf>
    <xf numFmtId="3" fontId="14" fillId="6" borderId="5" xfId="0" applyNumberFormat="1" applyFont="1" applyFill="1" applyBorder="1" applyAlignment="1">
      <alignment vertical="center"/>
    </xf>
    <xf numFmtId="3" fontId="63" fillId="7" borderId="10" xfId="0" applyNumberFormat="1" applyFont="1" applyFill="1" applyBorder="1" applyAlignment="1">
      <alignment vertical="center"/>
    </xf>
    <xf numFmtId="3" fontId="63" fillId="8" borderId="10" xfId="0" applyNumberFormat="1" applyFont="1" applyFill="1" applyBorder="1" applyAlignment="1">
      <alignment vertical="center"/>
    </xf>
    <xf numFmtId="3" fontId="61" fillId="7" borderId="10" xfId="0" applyNumberFormat="1" applyFont="1" applyFill="1" applyBorder="1" applyAlignment="1">
      <alignment vertical="center"/>
    </xf>
    <xf numFmtId="3" fontId="64" fillId="7" borderId="12" xfId="0" applyNumberFormat="1" applyFont="1" applyFill="1" applyBorder="1" applyAlignment="1">
      <alignment vertical="center"/>
    </xf>
    <xf numFmtId="3" fontId="66" fillId="7" borderId="10" xfId="0" applyNumberFormat="1" applyFont="1" applyFill="1" applyBorder="1" applyAlignment="1">
      <alignment vertical="center"/>
    </xf>
    <xf numFmtId="165" fontId="20" fillId="0" borderId="0" xfId="6" applyNumberFormat="1" applyFont="1" applyFill="1" applyAlignment="1">
      <alignment vertical="center" wrapText="1"/>
    </xf>
    <xf numFmtId="0" fontId="21" fillId="6" borderId="13" xfId="6" applyFont="1" applyFill="1" applyBorder="1" applyAlignment="1" applyProtection="1">
      <alignment horizontal="center" vertical="center" wrapText="1"/>
    </xf>
    <xf numFmtId="0" fontId="21" fillId="6" borderId="14" xfId="6" applyFont="1" applyFill="1" applyBorder="1" applyAlignment="1" applyProtection="1">
      <alignment horizontal="center" vertical="center"/>
    </xf>
    <xf numFmtId="0" fontId="22" fillId="0" borderId="0" xfId="6" applyFont="1" applyFill="1" applyAlignment="1">
      <alignment vertical="center"/>
    </xf>
    <xf numFmtId="0" fontId="21" fillId="6" borderId="15" xfId="6" applyFont="1" applyFill="1" applyBorder="1" applyAlignment="1" applyProtection="1">
      <alignment vertical="center"/>
    </xf>
    <xf numFmtId="0" fontId="21" fillId="6" borderId="16" xfId="6" applyFont="1" applyFill="1" applyBorder="1" applyAlignment="1" applyProtection="1">
      <alignment horizontal="center" vertical="center"/>
    </xf>
    <xf numFmtId="0" fontId="21" fillId="6" borderId="17" xfId="6" applyFont="1" applyFill="1" applyBorder="1" applyAlignment="1" applyProtection="1">
      <alignment vertical="center"/>
    </xf>
    <xf numFmtId="0" fontId="21" fillId="6" borderId="0" xfId="6" applyFont="1" applyFill="1" applyBorder="1" applyAlignment="1" applyProtection="1">
      <alignment vertical="center"/>
    </xf>
    <xf numFmtId="0" fontId="24" fillId="0" borderId="0" xfId="6" applyFont="1" applyFill="1" applyAlignment="1">
      <alignment vertical="center"/>
    </xf>
    <xf numFmtId="0" fontId="21" fillId="6" borderId="18" xfId="6" applyFont="1" applyFill="1" applyBorder="1" applyAlignment="1" applyProtection="1">
      <alignment horizontal="center" vertical="center" wrapText="1"/>
    </xf>
    <xf numFmtId="0" fontId="21" fillId="6" borderId="19" xfId="6" applyFont="1" applyFill="1" applyBorder="1" applyAlignment="1" applyProtection="1">
      <alignment horizontal="center" vertical="center" wrapText="1"/>
    </xf>
    <xf numFmtId="0" fontId="21" fillId="6" borderId="20" xfId="6" applyFont="1" applyFill="1" applyBorder="1" applyAlignment="1" applyProtection="1">
      <alignment horizontal="center" vertical="center" wrapText="1"/>
    </xf>
    <xf numFmtId="0" fontId="21" fillId="6" borderId="21" xfId="6" applyFont="1" applyFill="1" applyBorder="1" applyAlignment="1" applyProtection="1">
      <alignment horizontal="center" vertical="center" wrapText="1"/>
    </xf>
    <xf numFmtId="0" fontId="10" fillId="0" borderId="0" xfId="6" applyFill="1" applyAlignment="1">
      <alignment vertical="center" wrapText="1"/>
    </xf>
    <xf numFmtId="0" fontId="25" fillId="6" borderId="22" xfId="6" applyFont="1" applyFill="1" applyBorder="1" applyAlignment="1" applyProtection="1">
      <alignment horizontal="center" vertical="center" wrapText="1"/>
    </xf>
    <xf numFmtId="0" fontId="25" fillId="6" borderId="7" xfId="6" applyFont="1" applyFill="1" applyBorder="1" applyAlignment="1" applyProtection="1">
      <alignment horizontal="center" vertical="center" wrapText="1"/>
    </xf>
    <xf numFmtId="0" fontId="25" fillId="6" borderId="23" xfId="6" applyFont="1" applyFill="1" applyBorder="1" applyAlignment="1" applyProtection="1">
      <alignment horizontal="center" vertical="center" wrapText="1"/>
    </xf>
    <xf numFmtId="0" fontId="25" fillId="6" borderId="8" xfId="6" applyFont="1" applyFill="1" applyBorder="1" applyAlignment="1" applyProtection="1">
      <alignment horizontal="center" vertical="center" wrapText="1"/>
    </xf>
    <xf numFmtId="0" fontId="22" fillId="0" borderId="0" xfId="6" applyFont="1" applyFill="1" applyAlignment="1">
      <alignment horizontal="center" vertical="center" wrapText="1"/>
    </xf>
    <xf numFmtId="0" fontId="25" fillId="6" borderId="22" xfId="12" applyFont="1" applyFill="1" applyBorder="1" applyAlignment="1" applyProtection="1">
      <alignment horizontal="center" vertical="center" wrapText="1"/>
    </xf>
    <xf numFmtId="0" fontId="25" fillId="6" borderId="7" xfId="12" applyFont="1" applyFill="1" applyBorder="1" applyAlignment="1" applyProtection="1">
      <alignment horizontal="left" vertical="center" wrapText="1" indent="1"/>
    </xf>
    <xf numFmtId="165" fontId="25" fillId="6" borderId="23" xfId="12" applyNumberFormat="1" applyFont="1" applyFill="1" applyBorder="1" applyAlignment="1" applyProtection="1">
      <alignment horizontal="right" vertical="center" wrapText="1" indent="1"/>
    </xf>
    <xf numFmtId="165" fontId="25" fillId="6" borderId="8" xfId="12" applyNumberFormat="1" applyFont="1" applyFill="1" applyBorder="1" applyAlignment="1" applyProtection="1">
      <alignment horizontal="right" vertical="center" wrapText="1" indent="1"/>
    </xf>
    <xf numFmtId="49" fontId="27" fillId="6" borderId="24" xfId="12" applyNumberFormat="1" applyFont="1" applyFill="1" applyBorder="1" applyAlignment="1" applyProtection="1">
      <alignment horizontal="center" vertical="center" wrapText="1"/>
    </xf>
    <xf numFmtId="0" fontId="28" fillId="6" borderId="25" xfId="6" applyFont="1" applyFill="1" applyBorder="1" applyAlignment="1" applyProtection="1">
      <alignment horizontal="left" wrapText="1" indent="1"/>
    </xf>
    <xf numFmtId="165" fontId="29" fillId="6" borderId="26" xfId="12" applyNumberFormat="1" applyFont="1" applyFill="1" applyBorder="1" applyAlignment="1" applyProtection="1">
      <alignment horizontal="right" vertical="center" wrapText="1" indent="1"/>
      <protection locked="0"/>
    </xf>
    <xf numFmtId="165" fontId="29" fillId="6" borderId="11" xfId="12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0" xfId="6" applyFont="1" applyFill="1" applyAlignment="1">
      <alignment vertical="center" wrapText="1"/>
    </xf>
    <xf numFmtId="49" fontId="27" fillId="6" borderId="27" xfId="12" applyNumberFormat="1" applyFont="1" applyFill="1" applyBorder="1" applyAlignment="1" applyProtection="1">
      <alignment horizontal="center" vertical="center" wrapText="1"/>
    </xf>
    <xf numFmtId="0" fontId="28" fillId="6" borderId="28" xfId="6" applyFont="1" applyFill="1" applyBorder="1" applyAlignment="1" applyProtection="1">
      <alignment horizontal="left" wrapText="1" indent="1"/>
    </xf>
    <xf numFmtId="165" fontId="29" fillId="6" borderId="10" xfId="12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6" applyFont="1" applyFill="1" applyAlignment="1">
      <alignment vertical="center" wrapText="1"/>
    </xf>
    <xf numFmtId="49" fontId="27" fillId="6" borderId="29" xfId="12" applyNumberFormat="1" applyFont="1" applyFill="1" applyBorder="1" applyAlignment="1" applyProtection="1">
      <alignment horizontal="center" vertical="center" wrapText="1"/>
    </xf>
    <xf numFmtId="0" fontId="28" fillId="6" borderId="30" xfId="6" applyFont="1" applyFill="1" applyBorder="1" applyAlignment="1" applyProtection="1">
      <alignment horizontal="left" wrapText="1" indent="1"/>
    </xf>
    <xf numFmtId="0" fontId="32" fillId="6" borderId="7" xfId="6" applyFont="1" applyFill="1" applyBorder="1" applyAlignment="1" applyProtection="1">
      <alignment horizontal="left" vertical="center" wrapText="1" indent="1"/>
    </xf>
    <xf numFmtId="165" fontId="27" fillId="6" borderId="11" xfId="12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10" xfId="12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31" xfId="12" applyNumberFormat="1" applyFont="1" applyFill="1" applyBorder="1" applyAlignment="1" applyProtection="1">
      <alignment horizontal="right" vertical="center" wrapText="1" indent="1"/>
      <protection locked="0"/>
    </xf>
    <xf numFmtId="165" fontId="33" fillId="6" borderId="23" xfId="12" applyNumberFormat="1" applyFont="1" applyFill="1" applyBorder="1" applyAlignment="1" applyProtection="1">
      <alignment horizontal="right" vertical="center" wrapText="1" indent="1"/>
    </xf>
    <xf numFmtId="165" fontId="33" fillId="6" borderId="8" xfId="12" applyNumberFormat="1" applyFont="1" applyFill="1" applyBorder="1" applyAlignment="1" applyProtection="1">
      <alignment horizontal="right" vertical="center" wrapText="1" indent="1"/>
    </xf>
    <xf numFmtId="165" fontId="29" fillId="6" borderId="26" xfId="12" applyNumberFormat="1" applyFont="1" applyFill="1" applyBorder="1" applyAlignment="1" applyProtection="1">
      <alignment horizontal="right" vertical="center" wrapText="1" indent="1"/>
    </xf>
    <xf numFmtId="165" fontId="29" fillId="6" borderId="11" xfId="12" applyNumberFormat="1" applyFont="1" applyFill="1" applyBorder="1" applyAlignment="1" applyProtection="1">
      <alignment horizontal="right" vertical="center" wrapText="1" indent="1"/>
    </xf>
    <xf numFmtId="165" fontId="29" fillId="6" borderId="31" xfId="12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10" xfId="12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31" xfId="12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11" xfId="12" applyNumberFormat="1" applyFont="1" applyFill="1" applyBorder="1" applyAlignment="1" applyProtection="1">
      <alignment horizontal="right" vertical="center" wrapText="1" indent="1"/>
      <protection locked="0"/>
    </xf>
    <xf numFmtId="165" fontId="21" fillId="6" borderId="8" xfId="12" applyNumberFormat="1" applyFont="1" applyFill="1" applyBorder="1" applyAlignment="1" applyProtection="1">
      <alignment horizontal="right" vertical="center" wrapText="1" indent="1"/>
    </xf>
    <xf numFmtId="0" fontId="32" fillId="6" borderId="22" xfId="6" applyFont="1" applyFill="1" applyBorder="1" applyAlignment="1" applyProtection="1">
      <alignment horizontal="center" wrapText="1"/>
    </xf>
    <xf numFmtId="0" fontId="28" fillId="6" borderId="30" xfId="6" applyFont="1" applyFill="1" applyBorder="1" applyAlignment="1" applyProtection="1">
      <alignment wrapText="1"/>
    </xf>
    <xf numFmtId="49" fontId="27" fillId="6" borderId="32" xfId="12" applyNumberFormat="1" applyFont="1" applyFill="1" applyBorder="1" applyAlignment="1" applyProtection="1">
      <alignment horizontal="center" vertical="center" wrapText="1"/>
    </xf>
    <xf numFmtId="0" fontId="28" fillId="6" borderId="16" xfId="6" applyFont="1" applyFill="1" applyBorder="1" applyAlignment="1" applyProtection="1">
      <alignment horizontal="left" wrapText="1" indent="1"/>
    </xf>
    <xf numFmtId="165" fontId="34" fillId="6" borderId="12" xfId="12" applyNumberFormat="1" applyFont="1" applyFill="1" applyBorder="1" applyAlignment="1" applyProtection="1">
      <alignment horizontal="right" vertical="center" wrapText="1" indent="1"/>
      <protection locked="0"/>
    </xf>
    <xf numFmtId="0" fontId="28" fillId="6" borderId="24" xfId="6" applyFont="1" applyFill="1" applyBorder="1" applyAlignment="1" applyProtection="1">
      <alignment horizontal="center" wrapText="1"/>
    </xf>
    <xf numFmtId="0" fontId="28" fillId="6" borderId="27" xfId="6" applyFont="1" applyFill="1" applyBorder="1" applyAlignment="1" applyProtection="1">
      <alignment horizontal="center" wrapText="1"/>
    </xf>
    <xf numFmtId="0" fontId="28" fillId="6" borderId="29" xfId="6" applyFont="1" applyFill="1" applyBorder="1" applyAlignment="1" applyProtection="1">
      <alignment horizontal="center" wrapText="1"/>
    </xf>
    <xf numFmtId="165" fontId="25" fillId="6" borderId="23" xfId="12" applyNumberFormat="1" applyFont="1" applyFill="1" applyBorder="1" applyAlignment="1" applyProtection="1">
      <alignment horizontal="right" vertical="center" wrapText="1" indent="1"/>
      <protection locked="0"/>
    </xf>
    <xf numFmtId="165" fontId="25" fillId="6" borderId="8" xfId="12" applyNumberFormat="1" applyFont="1" applyFill="1" applyBorder="1" applyAlignment="1" applyProtection="1">
      <alignment horizontal="right" vertical="center" wrapText="1" indent="1"/>
      <protection locked="0"/>
    </xf>
    <xf numFmtId="0" fontId="32" fillId="6" borderId="7" xfId="6" applyFont="1" applyFill="1" applyBorder="1" applyAlignment="1" applyProtection="1">
      <alignment wrapText="1"/>
    </xf>
    <xf numFmtId="0" fontId="32" fillId="6" borderId="33" xfId="6" applyFont="1" applyFill="1" applyBorder="1" applyAlignment="1" applyProtection="1">
      <alignment horizontal="center" wrapText="1"/>
    </xf>
    <xf numFmtId="0" fontId="32" fillId="6" borderId="34" xfId="6" applyFont="1" applyFill="1" applyBorder="1" applyAlignment="1" applyProtection="1">
      <alignment wrapText="1"/>
    </xf>
    <xf numFmtId="0" fontId="27" fillId="6" borderId="0" xfId="6" applyFont="1" applyFill="1" applyBorder="1" applyAlignment="1" applyProtection="1">
      <alignment horizontal="center" vertical="center" wrapText="1"/>
    </xf>
    <xf numFmtId="0" fontId="21" fillId="6" borderId="0" xfId="6" applyFont="1" applyFill="1" applyBorder="1" applyAlignment="1" applyProtection="1">
      <alignment horizontal="left" vertical="center" wrapText="1" indent="1"/>
    </xf>
    <xf numFmtId="165" fontId="25" fillId="6" borderId="0" xfId="6" applyNumberFormat="1" applyFont="1" applyFill="1" applyBorder="1" applyAlignment="1" applyProtection="1">
      <alignment horizontal="right" vertical="center" wrapText="1" indent="1"/>
    </xf>
    <xf numFmtId="0" fontId="27" fillId="6" borderId="0" xfId="6" applyFont="1" applyFill="1" applyAlignment="1" applyProtection="1">
      <alignment horizontal="center" vertical="center" wrapText="1"/>
    </xf>
    <xf numFmtId="0" fontId="27" fillId="6" borderId="0" xfId="6" applyFont="1" applyFill="1" applyAlignment="1" applyProtection="1">
      <alignment vertical="center" wrapText="1"/>
    </xf>
    <xf numFmtId="0" fontId="27" fillId="6" borderId="0" xfId="6" applyFont="1" applyFill="1" applyAlignment="1" applyProtection="1">
      <alignment horizontal="right" vertical="center" wrapText="1" indent="1"/>
    </xf>
    <xf numFmtId="0" fontId="25" fillId="6" borderId="35" xfId="12" applyFont="1" applyFill="1" applyBorder="1" applyAlignment="1" applyProtection="1">
      <alignment horizontal="center" vertical="center" wrapText="1"/>
    </xf>
    <xf numFmtId="0" fontId="25" fillId="6" borderId="19" xfId="12" applyFont="1" applyFill="1" applyBorder="1" applyAlignment="1" applyProtection="1">
      <alignment vertical="center" wrapText="1"/>
    </xf>
    <xf numFmtId="165" fontId="25" fillId="6" borderId="20" xfId="12" applyNumberFormat="1" applyFont="1" applyFill="1" applyBorder="1" applyAlignment="1" applyProtection="1">
      <alignment horizontal="right" vertical="center" wrapText="1" indent="1"/>
    </xf>
    <xf numFmtId="165" fontId="25" fillId="6" borderId="21" xfId="12" applyNumberFormat="1" applyFont="1" applyFill="1" applyBorder="1" applyAlignment="1" applyProtection="1">
      <alignment horizontal="right" vertical="center" wrapText="1" indent="1"/>
    </xf>
    <xf numFmtId="0" fontId="35" fillId="0" borderId="0" xfId="6" applyFont="1" applyFill="1" applyAlignment="1">
      <alignment vertical="center" wrapText="1"/>
    </xf>
    <xf numFmtId="49" fontId="27" fillId="6" borderId="36" xfId="12" applyNumberFormat="1" applyFont="1" applyFill="1" applyBorder="1" applyAlignment="1" applyProtection="1">
      <alignment horizontal="center" vertical="center" wrapText="1"/>
    </xf>
    <xf numFmtId="0" fontId="27" fillId="6" borderId="14" xfId="12" applyFont="1" applyFill="1" applyBorder="1" applyAlignment="1" applyProtection="1">
      <alignment horizontal="left" vertical="center" wrapText="1" indent="1"/>
    </xf>
    <xf numFmtId="165" fontId="27" fillId="6" borderId="9" xfId="12" applyNumberFormat="1" applyFont="1" applyFill="1" applyBorder="1" applyAlignment="1" applyProtection="1">
      <alignment horizontal="right" vertical="center" wrapText="1" indent="1"/>
      <protection locked="0"/>
    </xf>
    <xf numFmtId="0" fontId="27" fillId="6" borderId="28" xfId="12" applyFont="1" applyFill="1" applyBorder="1" applyAlignment="1" applyProtection="1">
      <alignment horizontal="left" vertical="center" wrapText="1" indent="1"/>
    </xf>
    <xf numFmtId="0" fontId="27" fillId="6" borderId="37" xfId="12" applyFont="1" applyFill="1" applyBorder="1" applyAlignment="1" applyProtection="1">
      <alignment horizontal="left" vertical="center" wrapText="1" indent="1"/>
    </xf>
    <xf numFmtId="0" fontId="27" fillId="6" borderId="0" xfId="12" applyFont="1" applyFill="1" applyBorder="1" applyAlignment="1" applyProtection="1">
      <alignment horizontal="left" vertical="center" wrapText="1" indent="1"/>
    </xf>
    <xf numFmtId="0" fontId="27" fillId="6" borderId="28" xfId="12" applyFont="1" applyFill="1" applyBorder="1" applyAlignment="1" applyProtection="1">
      <alignment horizontal="left" indent="6"/>
    </xf>
    <xf numFmtId="0" fontId="27" fillId="6" borderId="28" xfId="12" applyFont="1" applyFill="1" applyBorder="1" applyAlignment="1" applyProtection="1">
      <alignment horizontal="left" vertical="center" wrapText="1" indent="6"/>
    </xf>
    <xf numFmtId="49" fontId="27" fillId="6" borderId="38" xfId="12" applyNumberFormat="1" applyFont="1" applyFill="1" applyBorder="1" applyAlignment="1" applyProtection="1">
      <alignment horizontal="center" vertical="center" wrapText="1"/>
    </xf>
    <xf numFmtId="0" fontId="27" fillId="6" borderId="30" xfId="12" applyFont="1" applyFill="1" applyBorder="1" applyAlignment="1" applyProtection="1">
      <alignment horizontal="left" vertical="center" wrapText="1" indent="6"/>
    </xf>
    <xf numFmtId="0" fontId="27" fillId="6" borderId="16" xfId="12" applyFont="1" applyFill="1" applyBorder="1" applyAlignment="1" applyProtection="1">
      <alignment horizontal="left" vertical="center" wrapText="1" indent="6"/>
    </xf>
    <xf numFmtId="165" fontId="27" fillId="6" borderId="12" xfId="12" applyNumberFormat="1" applyFont="1" applyFill="1" applyBorder="1" applyAlignment="1" applyProtection="1">
      <alignment horizontal="right" vertical="center" wrapText="1" indent="1"/>
      <protection locked="0"/>
    </xf>
    <xf numFmtId="0" fontId="25" fillId="6" borderId="7" xfId="12" applyFont="1" applyFill="1" applyBorder="1" applyAlignment="1" applyProtection="1">
      <alignment vertical="center" wrapText="1"/>
    </xf>
    <xf numFmtId="0" fontId="27" fillId="6" borderId="30" xfId="12" applyFont="1" applyFill="1" applyBorder="1" applyAlignment="1" applyProtection="1">
      <alignment horizontal="left" vertical="center" wrapText="1" indent="1"/>
    </xf>
    <xf numFmtId="0" fontId="28" fillId="6" borderId="30" xfId="6" applyFont="1" applyFill="1" applyBorder="1" applyAlignment="1" applyProtection="1">
      <alignment horizontal="left" vertical="center" wrapText="1" indent="1"/>
    </xf>
    <xf numFmtId="0" fontId="28" fillId="6" borderId="28" xfId="6" applyFont="1" applyFill="1" applyBorder="1" applyAlignment="1" applyProtection="1">
      <alignment horizontal="left" vertical="center" wrapText="1" indent="1"/>
    </xf>
    <xf numFmtId="0" fontId="27" fillId="6" borderId="25" xfId="12" applyFont="1" applyFill="1" applyBorder="1" applyAlignment="1" applyProtection="1">
      <alignment horizontal="left" vertical="center" wrapText="1" indent="6"/>
    </xf>
    <xf numFmtId="0" fontId="33" fillId="6" borderId="7" xfId="12" applyFont="1" applyFill="1" applyBorder="1" applyAlignment="1" applyProtection="1">
      <alignment horizontal="left" vertical="center" wrapText="1" indent="1"/>
    </xf>
    <xf numFmtId="0" fontId="27" fillId="6" borderId="25" xfId="12" applyFont="1" applyFill="1" applyBorder="1" applyAlignment="1" applyProtection="1">
      <alignment horizontal="left" vertical="center" wrapText="1" indent="1"/>
    </xf>
    <xf numFmtId="0" fontId="27" fillId="6" borderId="39" xfId="12" applyFont="1" applyFill="1" applyBorder="1" applyAlignment="1" applyProtection="1">
      <alignment horizontal="left" vertical="center" wrapText="1" indent="1"/>
    </xf>
    <xf numFmtId="16" fontId="10" fillId="0" borderId="0" xfId="6" applyNumberFormat="1" applyFill="1" applyAlignment="1">
      <alignment vertical="center" wrapText="1"/>
    </xf>
    <xf numFmtId="165" fontId="32" fillId="6" borderId="23" xfId="6" applyNumberFormat="1" applyFont="1" applyFill="1" applyBorder="1" applyAlignment="1" applyProtection="1">
      <alignment horizontal="right" vertical="center" wrapText="1" indent="1"/>
    </xf>
    <xf numFmtId="165" fontId="32" fillId="6" borderId="8" xfId="6" applyNumberFormat="1" applyFont="1" applyFill="1" applyBorder="1" applyAlignment="1" applyProtection="1">
      <alignment horizontal="right" vertical="center" wrapText="1" indent="1"/>
    </xf>
    <xf numFmtId="165" fontId="6" fillId="6" borderId="23" xfId="6" quotePrefix="1" applyNumberFormat="1" applyFont="1" applyFill="1" applyBorder="1" applyAlignment="1" applyProtection="1">
      <alignment horizontal="right" vertical="center" wrapText="1" indent="1"/>
    </xf>
    <xf numFmtId="165" fontId="6" fillId="6" borderId="8" xfId="6" quotePrefix="1" applyNumberFormat="1" applyFont="1" applyFill="1" applyBorder="1" applyAlignment="1" applyProtection="1">
      <alignment horizontal="right" vertical="center" wrapText="1" indent="1"/>
    </xf>
    <xf numFmtId="0" fontId="32" fillId="6" borderId="33" xfId="6" applyFont="1" applyFill="1" applyBorder="1" applyAlignment="1" applyProtection="1">
      <alignment horizontal="center" vertical="center" wrapText="1"/>
    </xf>
    <xf numFmtId="0" fontId="6" fillId="6" borderId="34" xfId="6" applyFont="1" applyFill="1" applyBorder="1" applyAlignment="1" applyProtection="1">
      <alignment horizontal="left" vertical="center" wrapText="1" indent="1"/>
    </xf>
    <xf numFmtId="0" fontId="26" fillId="6" borderId="0" xfId="12" applyFill="1" applyProtection="1"/>
    <xf numFmtId="0" fontId="26" fillId="0" borderId="0" xfId="12" applyFill="1" applyProtection="1"/>
    <xf numFmtId="0" fontId="21" fillId="6" borderId="22" xfId="12" applyFont="1" applyFill="1" applyBorder="1" applyAlignment="1" applyProtection="1">
      <alignment horizontal="center" vertical="center" wrapText="1"/>
    </xf>
    <xf numFmtId="0" fontId="21" fillId="6" borderId="7" xfId="12" applyFont="1" applyFill="1" applyBorder="1" applyAlignment="1" applyProtection="1">
      <alignment vertical="center" wrapText="1"/>
    </xf>
    <xf numFmtId="165" fontId="21" fillId="6" borderId="23" xfId="12" applyNumberFormat="1" applyFont="1" applyFill="1" applyBorder="1" applyAlignment="1" applyProtection="1">
      <alignment horizontal="right" vertical="center" wrapText="1" indent="1"/>
    </xf>
    <xf numFmtId="165" fontId="21" fillId="6" borderId="0" xfId="12" applyNumberFormat="1" applyFont="1" applyFill="1" applyBorder="1" applyAlignment="1" applyProtection="1">
      <alignment horizontal="right" vertical="center" wrapText="1" indent="1"/>
    </xf>
    <xf numFmtId="0" fontId="10" fillId="6" borderId="0" xfId="6" applyFont="1" applyFill="1" applyAlignment="1" applyProtection="1">
      <alignment horizontal="left" vertical="center" wrapText="1"/>
    </xf>
    <xf numFmtId="0" fontId="10" fillId="6" borderId="0" xfId="6" applyFont="1" applyFill="1" applyAlignment="1" applyProtection="1">
      <alignment vertical="center" wrapText="1"/>
    </xf>
    <xf numFmtId="0" fontId="10" fillId="6" borderId="0" xfId="6" applyFont="1" applyFill="1" applyAlignment="1" applyProtection="1">
      <alignment horizontal="right" vertical="center" wrapText="1" indent="1"/>
    </xf>
    <xf numFmtId="165" fontId="10" fillId="6" borderId="0" xfId="6" applyNumberFormat="1" applyFill="1" applyAlignment="1" applyProtection="1">
      <alignment vertical="center" wrapText="1"/>
    </xf>
    <xf numFmtId="165" fontId="22" fillId="6" borderId="0" xfId="6" applyNumberFormat="1" applyFont="1" applyFill="1" applyAlignment="1" applyProtection="1">
      <alignment horizontal="centerContinuous" vertical="center" wrapText="1"/>
    </xf>
    <xf numFmtId="165" fontId="10" fillId="6" borderId="0" xfId="6" applyNumberFormat="1" applyFill="1" applyAlignment="1" applyProtection="1">
      <alignment horizontal="centerContinuous" vertical="center"/>
    </xf>
    <xf numFmtId="165" fontId="10" fillId="0" borderId="0" xfId="6" applyNumberFormat="1" applyFill="1" applyAlignment="1" applyProtection="1">
      <alignment vertical="center" wrapText="1"/>
    </xf>
    <xf numFmtId="165" fontId="10" fillId="6" borderId="0" xfId="6" applyNumberFormat="1" applyFill="1" applyAlignment="1" applyProtection="1">
      <alignment horizontal="center" vertical="center" wrapText="1"/>
    </xf>
    <xf numFmtId="165" fontId="21" fillId="6" borderId="22" xfId="6" applyNumberFormat="1" applyFont="1" applyFill="1" applyBorder="1" applyAlignment="1" applyProtection="1">
      <alignment horizontal="centerContinuous" vertical="center" wrapText="1"/>
    </xf>
    <xf numFmtId="165" fontId="21" fillId="6" borderId="7" xfId="6" applyNumberFormat="1" applyFont="1" applyFill="1" applyBorder="1" applyAlignment="1" applyProtection="1">
      <alignment horizontal="centerContinuous" vertical="center" wrapText="1"/>
    </xf>
    <xf numFmtId="165" fontId="21" fillId="6" borderId="40" xfId="6" applyNumberFormat="1" applyFont="1" applyFill="1" applyBorder="1" applyAlignment="1" applyProtection="1">
      <alignment horizontal="centerContinuous" vertical="center" wrapText="1"/>
    </xf>
    <xf numFmtId="165" fontId="21" fillId="6" borderId="8" xfId="6" applyNumberFormat="1" applyFont="1" applyFill="1" applyBorder="1" applyAlignment="1" applyProtection="1">
      <alignment horizontal="centerContinuous" vertical="center" wrapText="1"/>
    </xf>
    <xf numFmtId="165" fontId="21" fillId="6" borderId="22" xfId="6" applyNumberFormat="1" applyFont="1" applyFill="1" applyBorder="1" applyAlignment="1" applyProtection="1">
      <alignment horizontal="center" vertical="center" wrapText="1"/>
    </xf>
    <xf numFmtId="165" fontId="21" fillId="6" borderId="7" xfId="6" applyNumberFormat="1" applyFont="1" applyFill="1" applyBorder="1" applyAlignment="1" applyProtection="1">
      <alignment horizontal="center" vertical="center" wrapText="1"/>
    </xf>
    <xf numFmtId="165" fontId="24" fillId="0" borderId="0" xfId="6" applyNumberFormat="1" applyFont="1" applyFill="1" applyAlignment="1" applyProtection="1">
      <alignment horizontal="center" vertical="center" wrapText="1"/>
    </xf>
    <xf numFmtId="165" fontId="33" fillId="6" borderId="6" xfId="6" applyNumberFormat="1" applyFont="1" applyFill="1" applyBorder="1" applyAlignment="1" applyProtection="1">
      <alignment horizontal="center" vertical="center" wrapText="1"/>
    </xf>
    <xf numFmtId="165" fontId="33" fillId="6" borderId="22" xfId="6" applyNumberFormat="1" applyFont="1" applyFill="1" applyBorder="1" applyAlignment="1" applyProtection="1">
      <alignment horizontal="center" vertical="center" wrapText="1"/>
    </xf>
    <xf numFmtId="165" fontId="33" fillId="6" borderId="7" xfId="6" applyNumberFormat="1" applyFont="1" applyFill="1" applyBorder="1" applyAlignment="1" applyProtection="1">
      <alignment horizontal="center" vertical="center" wrapText="1"/>
    </xf>
    <xf numFmtId="165" fontId="33" fillId="6" borderId="23" xfId="6" applyNumberFormat="1" applyFont="1" applyFill="1" applyBorder="1" applyAlignment="1" applyProtection="1">
      <alignment horizontal="center" vertical="center" wrapText="1"/>
    </xf>
    <xf numFmtId="165" fontId="33" fillId="6" borderId="8" xfId="6" applyNumberFormat="1" applyFont="1" applyFill="1" applyBorder="1" applyAlignment="1" applyProtection="1">
      <alignment horizontal="center" vertical="center" wrapText="1"/>
    </xf>
    <xf numFmtId="165" fontId="33" fillId="0" borderId="0" xfId="6" applyNumberFormat="1" applyFont="1" applyFill="1" applyAlignment="1" applyProtection="1">
      <alignment horizontal="center" vertical="center" wrapText="1"/>
    </xf>
    <xf numFmtId="165" fontId="10" fillId="6" borderId="1" xfId="6" applyNumberFormat="1" applyFill="1" applyBorder="1" applyAlignment="1" applyProtection="1">
      <alignment horizontal="left" vertical="center" wrapText="1" indent="1"/>
    </xf>
    <xf numFmtId="165" fontId="27" fillId="6" borderId="24" xfId="6" applyNumberFormat="1" applyFont="1" applyFill="1" applyBorder="1" applyAlignment="1" applyProtection="1">
      <alignment horizontal="left" vertical="center" wrapText="1" indent="1"/>
    </xf>
    <xf numFmtId="165" fontId="27" fillId="6" borderId="25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41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9" xfId="6" applyNumberFormat="1" applyFont="1" applyFill="1" applyBorder="1" applyAlignment="1" applyProtection="1">
      <alignment horizontal="right" vertical="center" wrapText="1" indent="1"/>
      <protection locked="0"/>
    </xf>
    <xf numFmtId="165" fontId="10" fillId="6" borderId="2" xfId="6" applyNumberFormat="1" applyFill="1" applyBorder="1" applyAlignment="1" applyProtection="1">
      <alignment horizontal="left" vertical="center" wrapText="1" indent="1"/>
    </xf>
    <xf numFmtId="165" fontId="27" fillId="6" borderId="27" xfId="6" applyNumberFormat="1" applyFont="1" applyFill="1" applyBorder="1" applyAlignment="1" applyProtection="1">
      <alignment horizontal="left" vertical="center" wrapText="1" indent="1"/>
    </xf>
    <xf numFmtId="165" fontId="27" fillId="6" borderId="28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42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10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17" xfId="6" applyNumberFormat="1" applyFont="1" applyFill="1" applyBorder="1" applyAlignment="1" applyProtection="1">
      <alignment horizontal="left" vertical="center" wrapText="1" indent="1"/>
    </xf>
    <xf numFmtId="165" fontId="27" fillId="6" borderId="27" xfId="6" applyNumberFormat="1" applyFont="1" applyFill="1" applyBorder="1" applyAlignment="1" applyProtection="1">
      <alignment horizontal="left" vertical="center" wrapText="1" indent="1"/>
      <protection locked="0"/>
    </xf>
    <xf numFmtId="165" fontId="34" fillId="6" borderId="0" xfId="6" applyNumberFormat="1" applyFont="1" applyFill="1" applyBorder="1" applyAlignment="1" applyProtection="1">
      <alignment horizontal="left" vertical="center" wrapText="1" indent="1"/>
      <protection locked="0"/>
    </xf>
    <xf numFmtId="165" fontId="27" fillId="6" borderId="29" xfId="6" applyNumberFormat="1" applyFont="1" applyFill="1" applyBorder="1" applyAlignment="1" applyProtection="1">
      <alignment horizontal="left" vertical="center" wrapText="1" indent="1"/>
      <protection locked="0"/>
    </xf>
    <xf numFmtId="165" fontId="27" fillId="6" borderId="30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43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31" xfId="6" applyNumberFormat="1" applyFont="1" applyFill="1" applyBorder="1" applyAlignment="1" applyProtection="1">
      <alignment horizontal="right" vertical="center" wrapText="1" indent="1"/>
      <protection locked="0"/>
    </xf>
    <xf numFmtId="165" fontId="40" fillId="6" borderId="6" xfId="6" applyNumberFormat="1" applyFont="1" applyFill="1" applyBorder="1" applyAlignment="1" applyProtection="1">
      <alignment horizontal="left" vertical="center" wrapText="1" indent="1"/>
    </xf>
    <xf numFmtId="165" fontId="33" fillId="6" borderId="22" xfId="6" applyNumberFormat="1" applyFont="1" applyFill="1" applyBorder="1" applyAlignment="1" applyProtection="1">
      <alignment horizontal="left" vertical="center" wrapText="1" indent="1"/>
    </xf>
    <xf numFmtId="165" fontId="33" fillId="6" borderId="7" xfId="6" applyNumberFormat="1" applyFont="1" applyFill="1" applyBorder="1" applyAlignment="1" applyProtection="1">
      <alignment horizontal="right" vertical="center" wrapText="1" indent="1"/>
    </xf>
    <xf numFmtId="165" fontId="33" fillId="6" borderId="23" xfId="6" applyNumberFormat="1" applyFont="1" applyFill="1" applyBorder="1" applyAlignment="1" applyProtection="1">
      <alignment horizontal="right" vertical="center" wrapText="1" indent="1"/>
    </xf>
    <xf numFmtId="165" fontId="33" fillId="6" borderId="8" xfId="6" applyNumberFormat="1" applyFont="1" applyFill="1" applyBorder="1" applyAlignment="1" applyProtection="1">
      <alignment horizontal="right" vertical="center" wrapText="1" indent="1"/>
    </xf>
    <xf numFmtId="165" fontId="10" fillId="6" borderId="44" xfId="6" applyNumberFormat="1" applyFont="1" applyFill="1" applyBorder="1" applyAlignment="1" applyProtection="1">
      <alignment horizontal="left" vertical="center" wrapText="1" indent="1"/>
    </xf>
    <xf numFmtId="165" fontId="34" fillId="6" borderId="38" xfId="6" applyNumberFormat="1" applyFont="1" applyFill="1" applyBorder="1" applyAlignment="1" applyProtection="1">
      <alignment horizontal="left" vertical="center" wrapText="1" indent="1"/>
    </xf>
    <xf numFmtId="165" fontId="41" fillId="6" borderId="39" xfId="6" applyNumberFormat="1" applyFont="1" applyFill="1" applyBorder="1" applyAlignment="1" applyProtection="1">
      <alignment horizontal="right" vertical="center" wrapText="1" indent="1"/>
    </xf>
    <xf numFmtId="165" fontId="34" fillId="6" borderId="27" xfId="6" applyNumberFormat="1" applyFont="1" applyFill="1" applyBorder="1" applyAlignment="1" applyProtection="1">
      <alignment horizontal="left" vertical="center" wrapText="1" indent="1"/>
    </xf>
    <xf numFmtId="165" fontId="34" fillId="6" borderId="45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46" xfId="6" applyNumberFormat="1" applyFont="1" applyFill="1" applyBorder="1" applyAlignment="1" applyProtection="1">
      <alignment horizontal="right" vertical="center" wrapText="1" indent="1"/>
      <protection locked="0"/>
    </xf>
    <xf numFmtId="165" fontId="10" fillId="6" borderId="2" xfId="6" applyNumberFormat="1" applyFont="1" applyFill="1" applyBorder="1" applyAlignment="1" applyProtection="1">
      <alignment horizontal="left" vertical="center" wrapText="1" indent="1"/>
    </xf>
    <xf numFmtId="165" fontId="34" fillId="6" borderId="28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42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10" xfId="6" applyNumberFormat="1" applyFont="1" applyFill="1" applyBorder="1" applyAlignment="1" applyProtection="1">
      <alignment horizontal="right" vertical="center" wrapText="1" indent="1"/>
      <protection locked="0"/>
    </xf>
    <xf numFmtId="165" fontId="41" fillId="6" borderId="28" xfId="6" applyNumberFormat="1" applyFont="1" applyFill="1" applyBorder="1" applyAlignment="1" applyProtection="1">
      <alignment horizontal="right" vertical="center" wrapText="1" indent="1"/>
    </xf>
    <xf numFmtId="165" fontId="34" fillId="6" borderId="39" xfId="6" applyNumberFormat="1" applyFont="1" applyFill="1" applyBorder="1" applyAlignment="1" applyProtection="1">
      <alignment horizontal="right" vertical="center" wrapText="1" indent="1"/>
      <protection locked="0"/>
    </xf>
    <xf numFmtId="165" fontId="40" fillId="6" borderId="22" xfId="6" applyNumberFormat="1" applyFont="1" applyFill="1" applyBorder="1" applyAlignment="1" applyProtection="1">
      <alignment horizontal="left" vertical="center" wrapText="1" indent="1"/>
    </xf>
    <xf numFmtId="165" fontId="40" fillId="6" borderId="47" xfId="6" applyNumberFormat="1" applyFont="1" applyFill="1" applyBorder="1" applyAlignment="1" applyProtection="1">
      <alignment horizontal="right" vertical="center" wrapText="1" indent="1"/>
    </xf>
    <xf numFmtId="165" fontId="40" fillId="6" borderId="8" xfId="6" applyNumberFormat="1" applyFont="1" applyFill="1" applyBorder="1" applyAlignment="1" applyProtection="1">
      <alignment horizontal="right" vertical="center" wrapText="1" indent="1"/>
    </xf>
    <xf numFmtId="165" fontId="33" fillId="6" borderId="40" xfId="6" applyNumberFormat="1" applyFont="1" applyFill="1" applyBorder="1" applyAlignment="1" applyProtection="1">
      <alignment horizontal="center" vertical="center" wrapText="1"/>
    </xf>
    <xf numFmtId="165" fontId="27" fillId="6" borderId="48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37" xfId="6" applyNumberFormat="1" applyFont="1" applyFill="1" applyBorder="1" applyAlignment="1" applyProtection="1">
      <alignment horizontal="right" vertical="center" wrapText="1" indent="1"/>
      <protection locked="0"/>
    </xf>
    <xf numFmtId="165" fontId="10" fillId="6" borderId="44" xfId="6" applyNumberFormat="1" applyFill="1" applyBorder="1" applyAlignment="1" applyProtection="1">
      <alignment horizontal="left" vertical="center" wrapText="1" indent="1"/>
    </xf>
    <xf numFmtId="165" fontId="27" fillId="6" borderId="38" xfId="6" applyNumberFormat="1" applyFont="1" applyFill="1" applyBorder="1" applyAlignment="1" applyProtection="1">
      <alignment horizontal="left" vertical="center" wrapText="1" indent="1"/>
      <protection locked="0"/>
    </xf>
    <xf numFmtId="165" fontId="27" fillId="6" borderId="45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49" xfId="6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38" xfId="6" applyNumberFormat="1" applyFont="1" applyFill="1" applyBorder="1" applyAlignment="1" applyProtection="1">
      <alignment horizontal="left" vertical="center" wrapText="1" indent="1"/>
    </xf>
    <xf numFmtId="165" fontId="27" fillId="6" borderId="46" xfId="6" applyNumberFormat="1" applyFont="1" applyFill="1" applyBorder="1" applyAlignment="1" applyProtection="1">
      <alignment horizontal="right" vertical="center" wrapText="1" indent="1"/>
      <protection locked="0"/>
    </xf>
    <xf numFmtId="165" fontId="41" fillId="6" borderId="38" xfId="6" applyNumberFormat="1" applyFont="1" applyFill="1" applyBorder="1" applyAlignment="1" applyProtection="1">
      <alignment horizontal="left" vertical="center" wrapText="1" indent="1"/>
    </xf>
    <xf numFmtId="165" fontId="41" fillId="6" borderId="25" xfId="6" applyNumberFormat="1" applyFont="1" applyFill="1" applyBorder="1" applyAlignment="1" applyProtection="1">
      <alignment horizontal="right" vertical="center" wrapText="1" indent="1"/>
    </xf>
    <xf numFmtId="165" fontId="34" fillId="6" borderId="26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11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27" xfId="6" applyNumberFormat="1" applyFont="1" applyFill="1" applyBorder="1" applyAlignment="1" applyProtection="1">
      <alignment horizontal="left" vertical="center" wrapText="1" indent="2"/>
    </xf>
    <xf numFmtId="165" fontId="34" fillId="6" borderId="37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50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28" xfId="6" applyNumberFormat="1" applyFont="1" applyFill="1" applyBorder="1" applyAlignment="1" applyProtection="1">
      <alignment horizontal="left" vertical="center" wrapText="1" indent="2"/>
    </xf>
    <xf numFmtId="165" fontId="41" fillId="6" borderId="28" xfId="6" applyNumberFormat="1" applyFont="1" applyFill="1" applyBorder="1" applyAlignment="1" applyProtection="1">
      <alignment horizontal="left" vertical="center" wrapText="1" indent="1"/>
    </xf>
    <xf numFmtId="165" fontId="34" fillId="6" borderId="24" xfId="6" applyNumberFormat="1" applyFont="1" applyFill="1" applyBorder="1" applyAlignment="1" applyProtection="1">
      <alignment horizontal="left" vertical="center" wrapText="1" indent="1"/>
    </xf>
    <xf numFmtId="165" fontId="34" fillId="6" borderId="48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24" xfId="6" applyNumberFormat="1" applyFont="1" applyFill="1" applyBorder="1" applyAlignment="1" applyProtection="1">
      <alignment horizontal="left" vertical="center" wrapText="1" indent="1"/>
      <protection locked="0"/>
    </xf>
    <xf numFmtId="165" fontId="27" fillId="6" borderId="24" xfId="6" applyNumberFormat="1" applyFont="1" applyFill="1" applyBorder="1" applyAlignment="1" applyProtection="1">
      <alignment horizontal="left" vertical="center" wrapText="1" indent="1"/>
      <protection locked="0"/>
    </xf>
    <xf numFmtId="165" fontId="27" fillId="6" borderId="24" xfId="6" applyNumberFormat="1" applyFont="1" applyFill="1" applyBorder="1" applyAlignment="1" applyProtection="1">
      <alignment horizontal="left" vertical="center" wrapText="1" indent="2"/>
    </xf>
    <xf numFmtId="165" fontId="27" fillId="6" borderId="29" xfId="6" applyNumberFormat="1" applyFont="1" applyFill="1" applyBorder="1" applyAlignment="1" applyProtection="1">
      <alignment horizontal="left" vertical="center" wrapText="1" indent="2"/>
    </xf>
    <xf numFmtId="0" fontId="42" fillId="6" borderId="0" xfId="12" applyFont="1" applyFill="1" applyProtection="1"/>
    <xf numFmtId="0" fontId="31" fillId="0" borderId="0" xfId="12" applyFont="1" applyFill="1"/>
    <xf numFmtId="165" fontId="43" fillId="6" borderId="0" xfId="12" applyNumberFormat="1" applyFont="1" applyFill="1" applyBorder="1" applyAlignment="1" applyProtection="1">
      <alignment horizontal="centerContinuous" vertical="center"/>
    </xf>
    <xf numFmtId="0" fontId="44" fillId="0" borderId="0" xfId="6" applyFont="1" applyFill="1" applyBorder="1" applyAlignment="1" applyProtection="1"/>
    <xf numFmtId="0" fontId="40" fillId="6" borderId="30" xfId="12" applyFont="1" applyFill="1" applyBorder="1" applyAlignment="1">
      <alignment horizontal="center" vertical="center" wrapText="1"/>
    </xf>
    <xf numFmtId="0" fontId="45" fillId="6" borderId="22" xfId="12" applyFont="1" applyFill="1" applyBorder="1" applyAlignment="1">
      <alignment horizontal="center" vertical="center"/>
    </xf>
    <xf numFmtId="0" fontId="45" fillId="6" borderId="7" xfId="12" applyFont="1" applyFill="1" applyBorder="1" applyAlignment="1">
      <alignment horizontal="center" vertical="center"/>
    </xf>
    <xf numFmtId="0" fontId="45" fillId="6" borderId="8" xfId="12" applyFont="1" applyFill="1" applyBorder="1" applyAlignment="1">
      <alignment horizontal="center" vertical="center"/>
    </xf>
    <xf numFmtId="0" fontId="45" fillId="6" borderId="24" xfId="12" applyFont="1" applyFill="1" applyBorder="1" applyAlignment="1">
      <alignment horizontal="center" vertical="center"/>
    </xf>
    <xf numFmtId="0" fontId="45" fillId="6" borderId="25" xfId="12" applyFont="1" applyFill="1" applyBorder="1" applyProtection="1">
      <protection locked="0"/>
    </xf>
    <xf numFmtId="164" fontId="45" fillId="6" borderId="25" xfId="2" applyNumberFormat="1" applyFont="1" applyFill="1" applyBorder="1" applyProtection="1">
      <protection locked="0"/>
    </xf>
    <xf numFmtId="164" fontId="45" fillId="6" borderId="11" xfId="2" applyNumberFormat="1" applyFont="1" applyFill="1" applyBorder="1"/>
    <xf numFmtId="0" fontId="45" fillId="6" borderId="27" xfId="12" applyFont="1" applyFill="1" applyBorder="1" applyAlignment="1">
      <alignment horizontal="center" vertical="center"/>
    </xf>
    <xf numFmtId="0" fontId="45" fillId="6" borderId="28" xfId="12" applyFont="1" applyFill="1" applyBorder="1" applyProtection="1">
      <protection locked="0"/>
    </xf>
    <xf numFmtId="164" fontId="45" fillId="6" borderId="28" xfId="2" applyNumberFormat="1" applyFont="1" applyFill="1" applyBorder="1" applyProtection="1">
      <protection locked="0"/>
    </xf>
    <xf numFmtId="164" fontId="45" fillId="6" borderId="10" xfId="2" applyNumberFormat="1" applyFont="1" applyFill="1" applyBorder="1"/>
    <xf numFmtId="0" fontId="45" fillId="6" borderId="29" xfId="12" applyFont="1" applyFill="1" applyBorder="1" applyAlignment="1">
      <alignment horizontal="center" vertical="center"/>
    </xf>
    <xf numFmtId="0" fontId="45" fillId="6" borderId="30" xfId="12" applyFont="1" applyFill="1" applyBorder="1" applyProtection="1">
      <protection locked="0"/>
    </xf>
    <xf numFmtId="164" fontId="45" fillId="6" borderId="30" xfId="2" applyNumberFormat="1" applyFont="1" applyFill="1" applyBorder="1" applyProtection="1">
      <protection locked="0"/>
    </xf>
    <xf numFmtId="0" fontId="40" fillId="6" borderId="22" xfId="12" applyFont="1" applyFill="1" applyBorder="1" applyAlignment="1">
      <alignment horizontal="center" vertical="center"/>
    </xf>
    <xf numFmtId="0" fontId="40" fillId="6" borderId="7" xfId="12" applyFont="1" applyFill="1" applyBorder="1"/>
    <xf numFmtId="164" fontId="40" fillId="6" borderId="7" xfId="12" applyNumberFormat="1" applyFont="1" applyFill="1" applyBorder="1"/>
    <xf numFmtId="164" fontId="40" fillId="6" borderId="8" xfId="12" applyNumberFormat="1" applyFont="1" applyFill="1" applyBorder="1"/>
    <xf numFmtId="0" fontId="46" fillId="0" borderId="0" xfId="12" applyFont="1" applyFill="1"/>
    <xf numFmtId="0" fontId="31" fillId="6" borderId="0" xfId="12" applyFont="1" applyFill="1"/>
    <xf numFmtId="0" fontId="33" fillId="6" borderId="36" xfId="12" applyFont="1" applyFill="1" applyBorder="1" applyAlignment="1" applyProtection="1">
      <alignment horizontal="center" vertical="center" wrapText="1"/>
    </xf>
    <xf numFmtId="0" fontId="33" fillId="6" borderId="41" xfId="12" applyFont="1" applyFill="1" applyBorder="1" applyAlignment="1" applyProtection="1">
      <alignment horizontal="center" vertical="center" wrapText="1"/>
    </xf>
    <xf numFmtId="0" fontId="33" fillId="6" borderId="5" xfId="12" applyFont="1" applyFill="1" applyBorder="1" applyAlignment="1" applyProtection="1">
      <alignment horizontal="center" vertical="center" wrapText="1"/>
    </xf>
    <xf numFmtId="0" fontId="33" fillId="0" borderId="51" xfId="12" applyFont="1" applyFill="1" applyBorder="1" applyAlignment="1">
      <alignment horizontal="center" vertical="center" wrapText="1"/>
    </xf>
    <xf numFmtId="0" fontId="34" fillId="6" borderId="22" xfId="12" applyFont="1" applyFill="1" applyBorder="1" applyAlignment="1" applyProtection="1">
      <alignment horizontal="center" vertical="center"/>
    </xf>
    <xf numFmtId="0" fontId="34" fillId="6" borderId="23" xfId="12" applyFont="1" applyFill="1" applyBorder="1" applyAlignment="1" applyProtection="1">
      <alignment horizontal="center" vertical="center"/>
    </xf>
    <xf numFmtId="0" fontId="34" fillId="6" borderId="6" xfId="12" applyFont="1" applyFill="1" applyBorder="1" applyAlignment="1" applyProtection="1">
      <alignment horizontal="center" vertical="center"/>
    </xf>
    <xf numFmtId="0" fontId="27" fillId="0" borderId="6" xfId="12" applyFont="1" applyFill="1" applyBorder="1" applyAlignment="1">
      <alignment horizontal="center" vertical="center"/>
    </xf>
    <xf numFmtId="0" fontId="34" fillId="6" borderId="36" xfId="12" applyFont="1" applyFill="1" applyBorder="1" applyAlignment="1" applyProtection="1">
      <alignment horizontal="center" vertical="center"/>
    </xf>
    <xf numFmtId="0" fontId="34" fillId="6" borderId="26" xfId="12" applyFont="1" applyFill="1" applyBorder="1" applyProtection="1"/>
    <xf numFmtId="164" fontId="34" fillId="6" borderId="5" xfId="2" applyNumberFormat="1" applyFont="1" applyFill="1" applyBorder="1" applyAlignment="1" applyProtection="1">
      <alignment vertical="center"/>
      <protection locked="0"/>
    </xf>
    <xf numFmtId="3" fontId="27" fillId="0" borderId="1" xfId="12" applyNumberFormat="1" applyFont="1" applyFill="1" applyBorder="1" applyAlignment="1">
      <alignment vertical="center"/>
    </xf>
    <xf numFmtId="0" fontId="34" fillId="6" borderId="27" xfId="12" applyFont="1" applyFill="1" applyBorder="1" applyAlignment="1" applyProtection="1">
      <alignment horizontal="center" vertical="center"/>
    </xf>
    <xf numFmtId="0" fontId="19" fillId="6" borderId="42" xfId="6" applyFont="1" applyFill="1" applyBorder="1" applyAlignment="1">
      <alignment horizontal="justify" wrapText="1"/>
    </xf>
    <xf numFmtId="164" fontId="34" fillId="6" borderId="2" xfId="2" applyNumberFormat="1" applyFont="1" applyFill="1" applyBorder="1" applyAlignment="1" applyProtection="1">
      <alignment vertical="center"/>
      <protection locked="0"/>
    </xf>
    <xf numFmtId="3" fontId="27" fillId="0" borderId="2" xfId="12" applyNumberFormat="1" applyFont="1" applyFill="1" applyBorder="1" applyAlignment="1">
      <alignment vertical="center"/>
    </xf>
    <xf numFmtId="0" fontId="19" fillId="6" borderId="42" xfId="6" applyFont="1" applyFill="1" applyBorder="1" applyAlignment="1">
      <alignment wrapText="1"/>
    </xf>
    <xf numFmtId="0" fontId="34" fillId="6" borderId="29" xfId="12" applyFont="1" applyFill="1" applyBorder="1" applyAlignment="1" applyProtection="1">
      <alignment horizontal="center" vertical="center"/>
    </xf>
    <xf numFmtId="164" fontId="34" fillId="6" borderId="3" xfId="2" applyNumberFormat="1" applyFont="1" applyFill="1" applyBorder="1" applyAlignment="1" applyProtection="1">
      <alignment vertical="center"/>
      <protection locked="0"/>
    </xf>
    <xf numFmtId="0" fontId="19" fillId="6" borderId="52" xfId="6" applyFont="1" applyFill="1" applyBorder="1" applyAlignment="1">
      <alignment wrapText="1"/>
    </xf>
    <xf numFmtId="3" fontId="27" fillId="0" borderId="3" xfId="12" applyNumberFormat="1" applyFont="1" applyFill="1" applyBorder="1" applyAlignment="1">
      <alignment vertical="center"/>
    </xf>
    <xf numFmtId="164" fontId="33" fillId="6" borderId="6" xfId="2" applyNumberFormat="1" applyFont="1" applyFill="1" applyBorder="1" applyAlignment="1" applyProtection="1">
      <alignment vertical="center"/>
    </xf>
    <xf numFmtId="164" fontId="33" fillId="6" borderId="8" xfId="2" applyNumberFormat="1" applyFont="1" applyFill="1" applyBorder="1" applyAlignment="1" applyProtection="1">
      <alignment horizontal="right" vertical="center"/>
    </xf>
    <xf numFmtId="165" fontId="10" fillId="0" borderId="0" xfId="6" applyNumberFormat="1" applyFill="1" applyAlignment="1">
      <alignment vertical="center" wrapText="1"/>
    </xf>
    <xf numFmtId="165" fontId="23" fillId="6" borderId="0" xfId="6" applyNumberFormat="1" applyFont="1" applyFill="1" applyAlignment="1" applyProtection="1">
      <alignment horizontal="right" wrapText="1"/>
    </xf>
    <xf numFmtId="165" fontId="24" fillId="0" borderId="0" xfId="6" applyNumberFormat="1" applyFont="1" applyFill="1" applyAlignment="1">
      <alignment horizontal="center" vertical="center" wrapText="1"/>
    </xf>
    <xf numFmtId="165" fontId="25" fillId="6" borderId="33" xfId="6" applyNumberFormat="1" applyFont="1" applyFill="1" applyBorder="1" applyAlignment="1" applyProtection="1">
      <alignment horizontal="center" vertical="center" wrapText="1"/>
    </xf>
    <xf numFmtId="165" fontId="25" fillId="6" borderId="34" xfId="6" applyNumberFormat="1" applyFont="1" applyFill="1" applyBorder="1" applyAlignment="1" applyProtection="1">
      <alignment horizontal="center" vertical="center" wrapText="1"/>
    </xf>
    <xf numFmtId="165" fontId="25" fillId="6" borderId="49" xfId="6" applyNumberFormat="1" applyFont="1" applyFill="1" applyBorder="1" applyAlignment="1" applyProtection="1">
      <alignment horizontal="center" vertical="center" wrapText="1"/>
    </xf>
    <xf numFmtId="165" fontId="29" fillId="6" borderId="27" xfId="6" applyNumberFormat="1" applyFont="1" applyFill="1" applyBorder="1" applyAlignment="1" applyProtection="1">
      <alignment horizontal="left" vertical="center" wrapText="1" indent="1"/>
      <protection locked="0"/>
    </xf>
    <xf numFmtId="165" fontId="29" fillId="6" borderId="28" xfId="6" applyNumberFormat="1" applyFont="1" applyFill="1" applyBorder="1" applyAlignment="1" applyProtection="1">
      <alignment vertical="center" wrapText="1"/>
      <protection locked="0"/>
    </xf>
    <xf numFmtId="49" fontId="29" fillId="6" borderId="28" xfId="6" applyNumberFormat="1" applyFont="1" applyFill="1" applyBorder="1" applyAlignment="1" applyProtection="1">
      <alignment horizontal="center" vertical="center" wrapText="1"/>
      <protection locked="0"/>
    </xf>
    <xf numFmtId="165" fontId="29" fillId="6" borderId="10" xfId="6" applyNumberFormat="1" applyFont="1" applyFill="1" applyBorder="1" applyAlignment="1" applyProtection="1">
      <alignment vertical="center" wrapText="1"/>
    </xf>
    <xf numFmtId="165" fontId="29" fillId="6" borderId="29" xfId="6" applyNumberFormat="1" applyFont="1" applyFill="1" applyBorder="1" applyAlignment="1" applyProtection="1">
      <alignment horizontal="left" vertical="center" wrapText="1" indent="1"/>
      <protection locked="0"/>
    </xf>
    <xf numFmtId="165" fontId="29" fillId="6" borderId="30" xfId="6" applyNumberFormat="1" applyFont="1" applyFill="1" applyBorder="1" applyAlignment="1" applyProtection="1">
      <alignment vertical="center" wrapText="1"/>
      <protection locked="0"/>
    </xf>
    <xf numFmtId="49" fontId="29" fillId="6" borderId="30" xfId="6" applyNumberFormat="1" applyFont="1" applyFill="1" applyBorder="1" applyAlignment="1" applyProtection="1">
      <alignment horizontal="center" vertical="center" wrapText="1"/>
      <protection locked="0"/>
    </xf>
    <xf numFmtId="165" fontId="29" fillId="6" borderId="31" xfId="6" applyNumberFormat="1" applyFont="1" applyFill="1" applyBorder="1" applyAlignment="1" applyProtection="1">
      <alignment vertical="center" wrapText="1"/>
    </xf>
    <xf numFmtId="165" fontId="21" fillId="6" borderId="22" xfId="6" applyNumberFormat="1" applyFont="1" applyFill="1" applyBorder="1" applyAlignment="1" applyProtection="1">
      <alignment horizontal="left" vertical="center" wrapText="1"/>
    </xf>
    <xf numFmtId="165" fontId="21" fillId="6" borderId="7" xfId="6" applyNumberFormat="1" applyFont="1" applyFill="1" applyBorder="1" applyAlignment="1" applyProtection="1">
      <alignment vertical="center" wrapText="1"/>
    </xf>
    <xf numFmtId="165" fontId="21" fillId="9" borderId="7" xfId="6" applyNumberFormat="1" applyFont="1" applyFill="1" applyBorder="1" applyAlignment="1" applyProtection="1">
      <alignment vertical="center" wrapText="1"/>
    </xf>
    <xf numFmtId="165" fontId="21" fillId="6" borderId="8" xfId="6" applyNumberFormat="1" applyFont="1" applyFill="1" applyBorder="1" applyAlignment="1" applyProtection="1">
      <alignment vertical="center" wrapText="1"/>
    </xf>
    <xf numFmtId="165" fontId="24" fillId="0" borderId="0" xfId="6" applyNumberFormat="1" applyFont="1" applyFill="1" applyAlignment="1">
      <alignment vertical="center" wrapText="1"/>
    </xf>
    <xf numFmtId="165" fontId="10" fillId="6" borderId="0" xfId="6" applyNumberFormat="1" applyFill="1" applyAlignment="1">
      <alignment vertical="center" wrapText="1"/>
    </xf>
    <xf numFmtId="165" fontId="10" fillId="6" borderId="0" xfId="6" applyNumberFormat="1" applyFill="1" applyAlignment="1">
      <alignment horizontal="center" vertical="center" wrapText="1"/>
    </xf>
    <xf numFmtId="0" fontId="1" fillId="0" borderId="0" xfId="14"/>
    <xf numFmtId="0" fontId="50" fillId="0" borderId="0" xfId="10" applyFont="1" applyAlignment="1">
      <alignment horizontal="center" vertical="center"/>
    </xf>
    <xf numFmtId="0" fontId="50" fillId="6" borderId="0" xfId="10" applyFont="1" applyFill="1" applyAlignment="1">
      <alignment horizontal="center" vertical="center" wrapText="1"/>
    </xf>
    <xf numFmtId="0" fontId="50" fillId="6" borderId="0" xfId="10" applyFont="1" applyFill="1" applyAlignment="1">
      <alignment horizontal="center" vertical="center"/>
    </xf>
    <xf numFmtId="0" fontId="8" fillId="6" borderId="51" xfId="10" applyFont="1" applyFill="1" applyBorder="1" applyAlignment="1">
      <alignment horizontal="center"/>
    </xf>
    <xf numFmtId="0" fontId="50" fillId="0" borderId="0" xfId="10" applyFont="1" applyBorder="1" applyAlignment="1">
      <alignment horizontal="right"/>
    </xf>
    <xf numFmtId="0" fontId="8" fillId="6" borderId="53" xfId="10" applyFont="1" applyFill="1" applyBorder="1" applyAlignment="1">
      <alignment horizontal="center" wrapText="1"/>
    </xf>
    <xf numFmtId="0" fontId="5" fillId="6" borderId="32" xfId="10" applyFont="1" applyFill="1" applyBorder="1" applyAlignment="1">
      <alignment horizontal="center" vertical="center"/>
    </xf>
    <xf numFmtId="0" fontId="5" fillId="6" borderId="12" xfId="10" applyFont="1" applyFill="1" applyBorder="1" applyAlignment="1">
      <alignment horizontal="center" vertical="center"/>
    </xf>
    <xf numFmtId="0" fontId="9" fillId="6" borderId="5" xfId="10" applyFont="1" applyFill="1" applyBorder="1" applyAlignment="1">
      <alignment horizontal="left"/>
    </xf>
    <xf numFmtId="3" fontId="9" fillId="6" borderId="1" xfId="10" applyNumberFormat="1" applyFont="1" applyFill="1" applyBorder="1" applyAlignment="1">
      <alignment horizontal="right"/>
    </xf>
    <xf numFmtId="0" fontId="8" fillId="6" borderId="24" xfId="10" applyFont="1" applyFill="1" applyBorder="1" applyAlignment="1">
      <alignment horizontal="right"/>
    </xf>
    <xf numFmtId="3" fontId="8" fillId="6" borderId="11" xfId="10" applyNumberFormat="1" applyFont="1" applyFill="1" applyBorder="1" applyAlignment="1">
      <alignment horizontal="right"/>
    </xf>
    <xf numFmtId="0" fontId="51" fillId="6" borderId="17" xfId="10" applyFont="1" applyFill="1" applyBorder="1" applyAlignment="1">
      <alignment horizontal="left" wrapText="1"/>
    </xf>
    <xf numFmtId="0" fontId="9" fillId="6" borderId="2" xfId="10" applyFont="1" applyFill="1" applyBorder="1" applyAlignment="1">
      <alignment horizontal="right"/>
    </xf>
    <xf numFmtId="0" fontId="9" fillId="6" borderId="27" xfId="10" applyFont="1" applyFill="1" applyBorder="1" applyAlignment="1">
      <alignment horizontal="right"/>
    </xf>
    <xf numFmtId="3" fontId="9" fillId="6" borderId="10" xfId="10" applyNumberFormat="1" applyFont="1" applyFill="1" applyBorder="1" applyAlignment="1">
      <alignment horizontal="right"/>
    </xf>
    <xf numFmtId="0" fontId="51" fillId="0" borderId="0" xfId="10" applyFont="1" applyBorder="1" applyAlignment="1">
      <alignment horizontal="right"/>
    </xf>
    <xf numFmtId="0" fontId="50" fillId="6" borderId="54" xfId="10" applyFont="1" applyFill="1" applyBorder="1" applyAlignment="1">
      <alignment horizontal="left" wrapText="1"/>
    </xf>
    <xf numFmtId="3" fontId="8" fillId="6" borderId="2" xfId="10" applyNumberFormat="1" applyFont="1" applyFill="1" applyBorder="1" applyAlignment="1">
      <alignment horizontal="right"/>
    </xf>
    <xf numFmtId="3" fontId="8" fillId="6" borderId="27" xfId="10" applyNumberFormat="1" applyFont="1" applyFill="1" applyBorder="1" applyAlignment="1">
      <alignment horizontal="right"/>
    </xf>
    <xf numFmtId="0" fontId="14" fillId="0" borderId="0" xfId="14" applyFont="1"/>
    <xf numFmtId="0" fontId="51" fillId="6" borderId="54" xfId="10" applyFont="1" applyFill="1" applyBorder="1" applyAlignment="1">
      <alignment horizontal="left" wrapText="1"/>
    </xf>
    <xf numFmtId="3" fontId="4" fillId="6" borderId="2" xfId="10" applyNumberFormat="1" applyFont="1" applyFill="1" applyBorder="1" applyAlignment="1">
      <alignment horizontal="right"/>
    </xf>
    <xf numFmtId="3" fontId="4" fillId="6" borderId="27" xfId="10" applyNumberFormat="1" applyFont="1" applyFill="1" applyBorder="1" applyAlignment="1">
      <alignment horizontal="right"/>
    </xf>
    <xf numFmtId="3" fontId="4" fillId="6" borderId="10" xfId="10" applyNumberFormat="1" applyFont="1" applyFill="1" applyBorder="1" applyAlignment="1">
      <alignment horizontal="right"/>
    </xf>
    <xf numFmtId="3" fontId="52" fillId="0" borderId="55" xfId="10" applyNumberFormat="1" applyFont="1" applyBorder="1" applyAlignment="1">
      <alignment horizontal="right"/>
    </xf>
    <xf numFmtId="3" fontId="52" fillId="0" borderId="2" xfId="10" applyNumberFormat="1" applyFont="1" applyBorder="1" applyAlignment="1">
      <alignment horizontal="right"/>
    </xf>
    <xf numFmtId="0" fontId="51" fillId="6" borderId="54" xfId="10" applyFont="1" applyFill="1" applyBorder="1" applyAlignment="1">
      <alignment horizontal="left" indent="1"/>
    </xf>
    <xf numFmtId="3" fontId="52" fillId="6" borderId="2" xfId="10" applyNumberFormat="1" applyFont="1" applyFill="1" applyBorder="1" applyAlignment="1">
      <alignment horizontal="right"/>
    </xf>
    <xf numFmtId="3" fontId="52" fillId="6" borderId="27" xfId="10" applyNumberFormat="1" applyFont="1" applyFill="1" applyBorder="1"/>
    <xf numFmtId="3" fontId="52" fillId="6" borderId="10" xfId="10" applyNumberFormat="1" applyFont="1" applyFill="1" applyBorder="1"/>
    <xf numFmtId="0" fontId="10" fillId="0" borderId="0" xfId="6"/>
    <xf numFmtId="0" fontId="39" fillId="0" borderId="0" xfId="10"/>
    <xf numFmtId="3" fontId="53" fillId="6" borderId="2" xfId="10" applyNumberFormat="1" applyFont="1" applyFill="1" applyBorder="1" applyAlignment="1">
      <alignment wrapText="1"/>
    </xf>
    <xf numFmtId="3" fontId="53" fillId="6" borderId="27" xfId="10" applyNumberFormat="1" applyFont="1" applyFill="1" applyBorder="1" applyAlignment="1">
      <alignment wrapText="1"/>
    </xf>
    <xf numFmtId="3" fontId="53" fillId="6" borderId="10" xfId="10" applyNumberFormat="1" applyFont="1" applyFill="1" applyBorder="1" applyAlignment="1">
      <alignment wrapText="1"/>
    </xf>
    <xf numFmtId="0" fontId="54" fillId="0" borderId="0" xfId="10" applyFont="1" applyAlignment="1">
      <alignment wrapText="1"/>
    </xf>
    <xf numFmtId="0" fontId="1" fillId="0" borderId="0" xfId="14" applyAlignment="1">
      <alignment wrapText="1"/>
    </xf>
    <xf numFmtId="3" fontId="53" fillId="6" borderId="2" xfId="10" applyNumberFormat="1" applyFont="1" applyFill="1" applyBorder="1" applyAlignment="1">
      <alignment horizontal="right"/>
    </xf>
    <xf numFmtId="3" fontId="53" fillId="6" borderId="27" xfId="10" applyNumberFormat="1" applyFont="1" applyFill="1" applyBorder="1" applyAlignment="1">
      <alignment horizontal="right"/>
    </xf>
    <xf numFmtId="3" fontId="53" fillId="6" borderId="10" xfId="10" applyNumberFormat="1" applyFont="1" applyFill="1" applyBorder="1" applyAlignment="1">
      <alignment horizontal="right"/>
    </xf>
    <xf numFmtId="3" fontId="53" fillId="0" borderId="55" xfId="10" applyNumberFormat="1" applyFont="1" applyBorder="1" applyAlignment="1">
      <alignment horizontal="right"/>
    </xf>
    <xf numFmtId="3" fontId="53" fillId="0" borderId="2" xfId="10" applyNumberFormat="1" applyFont="1" applyBorder="1" applyAlignment="1">
      <alignment horizontal="right"/>
    </xf>
    <xf numFmtId="3" fontId="55" fillId="6" borderId="2" xfId="10" applyNumberFormat="1" applyFont="1" applyFill="1" applyBorder="1" applyAlignment="1">
      <alignment horizontal="right"/>
    </xf>
    <xf numFmtId="3" fontId="52" fillId="6" borderId="27" xfId="10" applyNumberFormat="1" applyFont="1" applyFill="1" applyBorder="1" applyAlignment="1">
      <alignment horizontal="right"/>
    </xf>
    <xf numFmtId="3" fontId="52" fillId="6" borderId="10" xfId="10" applyNumberFormat="1" applyFont="1" applyFill="1" applyBorder="1" applyAlignment="1">
      <alignment horizontal="right"/>
    </xf>
    <xf numFmtId="0" fontId="50" fillId="6" borderId="56" xfId="10" applyFont="1" applyFill="1" applyBorder="1" applyAlignment="1">
      <alignment horizontal="left" indent="1"/>
    </xf>
    <xf numFmtId="3" fontId="4" fillId="0" borderId="57" xfId="10" applyNumberFormat="1" applyFont="1" applyBorder="1" applyAlignment="1">
      <alignment horizontal="right"/>
    </xf>
    <xf numFmtId="3" fontId="4" fillId="0" borderId="3" xfId="10" applyNumberFormat="1" applyFont="1" applyBorder="1" applyAlignment="1">
      <alignment horizontal="right"/>
    </xf>
    <xf numFmtId="0" fontId="51" fillId="6" borderId="56" xfId="10" applyFont="1" applyFill="1" applyBorder="1" applyAlignment="1">
      <alignment horizontal="left" indent="1"/>
    </xf>
    <xf numFmtId="3" fontId="52" fillId="0" borderId="57" xfId="10" applyNumberFormat="1" applyFont="1" applyBorder="1" applyAlignment="1">
      <alignment horizontal="right"/>
    </xf>
    <xf numFmtId="3" fontId="52" fillId="0" borderId="3" xfId="10" applyNumberFormat="1" applyFont="1" applyBorder="1" applyAlignment="1">
      <alignment horizontal="right"/>
    </xf>
    <xf numFmtId="3" fontId="52" fillId="6" borderId="3" xfId="10" applyNumberFormat="1" applyFont="1" applyFill="1" applyBorder="1" applyAlignment="1">
      <alignment horizontal="right"/>
    </xf>
    <xf numFmtId="3" fontId="52" fillId="6" borderId="29" xfId="10" applyNumberFormat="1" applyFont="1" applyFill="1" applyBorder="1" applyAlignment="1">
      <alignment horizontal="right"/>
    </xf>
    <xf numFmtId="3" fontId="52" fillId="6" borderId="31" xfId="10" applyNumberFormat="1" applyFont="1" applyFill="1" applyBorder="1" applyAlignment="1">
      <alignment horizontal="right"/>
    </xf>
    <xf numFmtId="0" fontId="53" fillId="6" borderId="18" xfId="10" applyFont="1" applyFill="1" applyBorder="1" applyAlignment="1">
      <alignment horizontal="center"/>
    </xf>
    <xf numFmtId="3" fontId="53" fillId="6" borderId="6" xfId="10" applyNumberFormat="1" applyFont="1" applyFill="1" applyBorder="1"/>
    <xf numFmtId="3" fontId="53" fillId="6" borderId="18" xfId="10" applyNumberFormat="1" applyFont="1" applyFill="1" applyBorder="1"/>
    <xf numFmtId="3" fontId="53" fillId="6" borderId="8" xfId="10" applyNumberFormat="1" applyFont="1" applyFill="1" applyBorder="1"/>
    <xf numFmtId="3" fontId="53" fillId="0" borderId="58" xfId="10" applyNumberFormat="1" applyFont="1" applyBorder="1"/>
    <xf numFmtId="3" fontId="53" fillId="0" borderId="4" xfId="10" applyNumberFormat="1" applyFont="1" applyBorder="1"/>
    <xf numFmtId="0" fontId="1" fillId="6" borderId="0" xfId="14" applyFill="1"/>
    <xf numFmtId="165" fontId="10" fillId="0" borderId="0" xfId="6" applyNumberFormat="1" applyFill="1" applyAlignment="1" applyProtection="1">
      <alignment horizontal="center" vertical="center" wrapText="1"/>
    </xf>
    <xf numFmtId="165" fontId="23" fillId="0" borderId="0" xfId="6" applyNumberFormat="1" applyFont="1" applyFill="1" applyAlignment="1" applyProtection="1">
      <alignment horizontal="right"/>
    </xf>
    <xf numFmtId="165" fontId="43" fillId="0" borderId="0" xfId="6" applyNumberFormat="1" applyFont="1" applyFill="1" applyAlignment="1" applyProtection="1">
      <alignment vertical="center"/>
    </xf>
    <xf numFmtId="165" fontId="21" fillId="0" borderId="52" xfId="6" applyNumberFormat="1" applyFont="1" applyFill="1" applyBorder="1" applyAlignment="1" applyProtection="1">
      <alignment horizontal="center" vertical="center"/>
    </xf>
    <xf numFmtId="165" fontId="21" fillId="0" borderId="12" xfId="6" applyNumberFormat="1" applyFont="1" applyFill="1" applyBorder="1" applyAlignment="1" applyProtection="1">
      <alignment horizontal="center" vertical="center" wrapText="1"/>
    </xf>
    <xf numFmtId="165" fontId="43" fillId="0" borderId="0" xfId="6" applyNumberFormat="1" applyFont="1" applyFill="1" applyAlignment="1" applyProtection="1">
      <alignment horizontal="center" vertical="center"/>
    </xf>
    <xf numFmtId="165" fontId="25" fillId="0" borderId="18" xfId="6" applyNumberFormat="1" applyFont="1" applyFill="1" applyBorder="1" applyAlignment="1" applyProtection="1">
      <alignment horizontal="center" vertical="center" wrapText="1"/>
    </xf>
    <xf numFmtId="165" fontId="25" fillId="0" borderId="6" xfId="6" applyNumberFormat="1" applyFont="1" applyFill="1" applyBorder="1" applyAlignment="1" applyProtection="1">
      <alignment horizontal="center" vertical="center" wrapText="1"/>
    </xf>
    <xf numFmtId="165" fontId="25" fillId="0" borderId="23" xfId="6" applyNumberFormat="1" applyFont="1" applyFill="1" applyBorder="1" applyAlignment="1" applyProtection="1">
      <alignment horizontal="center" vertical="center" wrapText="1"/>
    </xf>
    <xf numFmtId="165" fontId="25" fillId="0" borderId="8" xfId="6" applyNumberFormat="1" applyFont="1" applyFill="1" applyBorder="1" applyAlignment="1" applyProtection="1">
      <alignment horizontal="center" vertical="center" wrapText="1"/>
    </xf>
    <xf numFmtId="165" fontId="25" fillId="0" borderId="44" xfId="6" applyNumberFormat="1" applyFont="1" applyFill="1" applyBorder="1" applyAlignment="1" applyProtection="1">
      <alignment horizontal="center" vertical="center" wrapText="1"/>
    </xf>
    <xf numFmtId="165" fontId="43" fillId="0" borderId="0" xfId="6" applyNumberFormat="1" applyFont="1" applyFill="1" applyAlignment="1" applyProtection="1">
      <alignment horizontal="center" vertical="center" wrapText="1"/>
    </xf>
    <xf numFmtId="165" fontId="25" fillId="0" borderId="22" xfId="6" applyNumberFormat="1" applyFont="1" applyFill="1" applyBorder="1" applyAlignment="1" applyProtection="1">
      <alignment horizontal="center" vertical="center" wrapText="1"/>
    </xf>
    <xf numFmtId="165" fontId="25" fillId="0" borderId="6" xfId="6" applyNumberFormat="1" applyFont="1" applyFill="1" applyBorder="1" applyAlignment="1" applyProtection="1">
      <alignment horizontal="left" vertical="center" wrapText="1" indent="1"/>
    </xf>
    <xf numFmtId="49" fontId="27" fillId="0" borderId="7" xfId="6" applyNumberFormat="1" applyFont="1" applyFill="1" applyBorder="1" applyAlignment="1" applyProtection="1">
      <alignment horizontal="center" vertical="center" wrapText="1"/>
      <protection locked="0"/>
    </xf>
    <xf numFmtId="165" fontId="27" fillId="0" borderId="6" xfId="6" applyNumberFormat="1" applyFont="1" applyFill="1" applyBorder="1" applyAlignment="1" applyProtection="1">
      <alignment vertical="center" wrapText="1"/>
    </xf>
    <xf numFmtId="165" fontId="27" fillId="0" borderId="22" xfId="6" applyNumberFormat="1" applyFont="1" applyFill="1" applyBorder="1" applyAlignment="1" applyProtection="1">
      <alignment vertical="center" wrapText="1"/>
    </xf>
    <xf numFmtId="165" fontId="27" fillId="0" borderId="7" xfId="6" applyNumberFormat="1" applyFont="1" applyFill="1" applyBorder="1" applyAlignment="1" applyProtection="1">
      <alignment vertical="center" wrapText="1"/>
    </xf>
    <xf numFmtId="165" fontId="27" fillId="0" borderId="8" xfId="6" applyNumberFormat="1" applyFont="1" applyFill="1" applyBorder="1" applyAlignment="1" applyProtection="1">
      <alignment vertical="center" wrapText="1"/>
    </xf>
    <xf numFmtId="165" fontId="25" fillId="0" borderId="27" xfId="6" applyNumberFormat="1" applyFont="1" applyFill="1" applyBorder="1" applyAlignment="1" applyProtection="1">
      <alignment horizontal="center" vertical="center" wrapText="1"/>
    </xf>
    <xf numFmtId="165" fontId="27" fillId="0" borderId="2" xfId="6" applyNumberFormat="1" applyFont="1" applyFill="1" applyBorder="1" applyAlignment="1" applyProtection="1">
      <alignment horizontal="left" vertical="center" wrapText="1" indent="1"/>
      <protection locked="0"/>
    </xf>
    <xf numFmtId="49" fontId="45" fillId="0" borderId="28" xfId="6" applyNumberFormat="1" applyFont="1" applyFill="1" applyBorder="1" applyAlignment="1" applyProtection="1">
      <alignment horizontal="center" vertical="center" wrapText="1"/>
      <protection locked="0"/>
    </xf>
    <xf numFmtId="165" fontId="27" fillId="0" borderId="2" xfId="6" applyNumberFormat="1" applyFont="1" applyFill="1" applyBorder="1" applyAlignment="1" applyProtection="1">
      <alignment vertical="center" wrapText="1"/>
      <protection locked="0"/>
    </xf>
    <xf numFmtId="165" fontId="27" fillId="0" borderId="27" xfId="6" applyNumberFormat="1" applyFont="1" applyFill="1" applyBorder="1" applyAlignment="1" applyProtection="1">
      <alignment vertical="center" wrapText="1"/>
      <protection locked="0"/>
    </xf>
    <xf numFmtId="165" fontId="27" fillId="0" borderId="28" xfId="6" applyNumberFormat="1" applyFont="1" applyFill="1" applyBorder="1" applyAlignment="1" applyProtection="1">
      <alignment vertical="center" wrapText="1"/>
      <protection locked="0"/>
    </xf>
    <xf numFmtId="165" fontId="27" fillId="0" borderId="10" xfId="6" applyNumberFormat="1" applyFont="1" applyFill="1" applyBorder="1" applyAlignment="1" applyProtection="1">
      <alignment vertical="center" wrapText="1"/>
      <protection locked="0"/>
    </xf>
    <xf numFmtId="165" fontId="27" fillId="0" borderId="2" xfId="6" applyNumberFormat="1" applyFont="1" applyFill="1" applyBorder="1" applyAlignment="1" applyProtection="1">
      <alignment vertical="center" wrapText="1"/>
    </xf>
    <xf numFmtId="49" fontId="45" fillId="0" borderId="7" xfId="6" applyNumberFormat="1" applyFont="1" applyFill="1" applyBorder="1" applyAlignment="1" applyProtection="1">
      <alignment horizontal="center" vertical="center" wrapText="1"/>
      <protection locked="0"/>
    </xf>
    <xf numFmtId="165" fontId="25" fillId="0" borderId="29" xfId="6" applyNumberFormat="1" applyFont="1" applyFill="1" applyBorder="1" applyAlignment="1" applyProtection="1">
      <alignment horizontal="center" vertical="center" wrapText="1"/>
    </xf>
    <xf numFmtId="165" fontId="27" fillId="0" borderId="3" xfId="6" applyNumberFormat="1" applyFont="1" applyFill="1" applyBorder="1" applyAlignment="1" applyProtection="1">
      <alignment horizontal="left" vertical="center" wrapText="1" indent="1"/>
      <protection locked="0"/>
    </xf>
    <xf numFmtId="49" fontId="45" fillId="0" borderId="30" xfId="6" applyNumberFormat="1" applyFont="1" applyFill="1" applyBorder="1" applyAlignment="1" applyProtection="1">
      <alignment horizontal="center" vertical="center" wrapText="1"/>
      <protection locked="0"/>
    </xf>
    <xf numFmtId="165" fontId="27" fillId="0" borderId="3" xfId="6" applyNumberFormat="1" applyFont="1" applyFill="1" applyBorder="1" applyAlignment="1" applyProtection="1">
      <alignment vertical="center" wrapText="1"/>
      <protection locked="0"/>
    </xf>
    <xf numFmtId="165" fontId="27" fillId="0" borderId="29" xfId="6" applyNumberFormat="1" applyFont="1" applyFill="1" applyBorder="1" applyAlignment="1" applyProtection="1">
      <alignment vertical="center" wrapText="1"/>
      <protection locked="0"/>
    </xf>
    <xf numFmtId="165" fontId="27" fillId="0" borderId="30" xfId="6" applyNumberFormat="1" applyFont="1" applyFill="1" applyBorder="1" applyAlignment="1" applyProtection="1">
      <alignment vertical="center" wrapText="1"/>
      <protection locked="0"/>
    </xf>
    <xf numFmtId="165" fontId="27" fillId="0" borderId="31" xfId="6" applyNumberFormat="1" applyFont="1" applyFill="1" applyBorder="1" applyAlignment="1" applyProtection="1">
      <alignment vertical="center" wrapText="1"/>
      <protection locked="0"/>
    </xf>
    <xf numFmtId="165" fontId="27" fillId="0" borderId="3" xfId="6" applyNumberFormat="1" applyFont="1" applyFill="1" applyBorder="1" applyAlignment="1" applyProtection="1">
      <alignment vertical="center" wrapText="1"/>
    </xf>
    <xf numFmtId="165" fontId="33" fillId="0" borderId="6" xfId="6" applyNumberFormat="1" applyFont="1" applyFill="1" applyBorder="1" applyAlignment="1" applyProtection="1">
      <alignment horizontal="left" vertical="center" wrapText="1" indent="1"/>
    </xf>
    <xf numFmtId="165" fontId="25" fillId="0" borderId="38" xfId="6" applyNumberFormat="1" applyFont="1" applyFill="1" applyBorder="1" applyAlignment="1" applyProtection="1">
      <alignment horizontal="center" vertical="center" wrapText="1"/>
    </xf>
    <xf numFmtId="165" fontId="27" fillId="0" borderId="1" xfId="6" applyNumberFormat="1" applyFont="1" applyFill="1" applyBorder="1" applyAlignment="1" applyProtection="1">
      <alignment horizontal="left" vertical="center" wrapText="1" indent="1"/>
      <protection locked="0"/>
    </xf>
    <xf numFmtId="49" fontId="45" fillId="0" borderId="45" xfId="6" applyNumberFormat="1" applyFont="1" applyFill="1" applyBorder="1" applyAlignment="1" applyProtection="1">
      <alignment horizontal="center" vertical="center" wrapText="1"/>
      <protection locked="0"/>
    </xf>
    <xf numFmtId="165" fontId="27" fillId="0" borderId="44" xfId="6" applyNumberFormat="1" applyFont="1" applyFill="1" applyBorder="1" applyAlignment="1" applyProtection="1">
      <alignment vertical="center" wrapText="1"/>
      <protection locked="0"/>
    </xf>
    <xf numFmtId="165" fontId="27" fillId="0" borderId="38" xfId="6" applyNumberFormat="1" applyFont="1" applyFill="1" applyBorder="1" applyAlignment="1" applyProtection="1">
      <alignment vertical="center" wrapText="1"/>
      <protection locked="0"/>
    </xf>
    <xf numFmtId="165" fontId="27" fillId="0" borderId="39" xfId="6" applyNumberFormat="1" applyFont="1" applyFill="1" applyBorder="1" applyAlignment="1" applyProtection="1">
      <alignment vertical="center" wrapText="1"/>
      <protection locked="0"/>
    </xf>
    <xf numFmtId="165" fontId="27" fillId="0" borderId="46" xfId="6" applyNumberFormat="1" applyFont="1" applyFill="1" applyBorder="1" applyAlignment="1" applyProtection="1">
      <alignment vertical="center" wrapText="1"/>
      <protection locked="0"/>
    </xf>
    <xf numFmtId="165" fontId="27" fillId="0" borderId="44" xfId="6" applyNumberFormat="1" applyFont="1" applyFill="1" applyBorder="1" applyAlignment="1" applyProtection="1">
      <alignment vertical="center" wrapText="1"/>
    </xf>
    <xf numFmtId="165" fontId="45" fillId="3" borderId="23" xfId="6" applyNumberFormat="1" applyFont="1" applyFill="1" applyBorder="1" applyAlignment="1" applyProtection="1">
      <alignment horizontal="left" vertical="center" wrapText="1" indent="2"/>
    </xf>
    <xf numFmtId="165" fontId="23" fillId="0" borderId="0" xfId="6" applyNumberFormat="1" applyFont="1" applyFill="1" applyAlignment="1" applyProtection="1">
      <alignment horizontal="right" wrapText="1"/>
    </xf>
    <xf numFmtId="165" fontId="21" fillId="0" borderId="59" xfId="6" applyNumberFormat="1" applyFont="1" applyFill="1" applyBorder="1" applyAlignment="1" applyProtection="1">
      <alignment horizontal="center" vertical="center" wrapText="1"/>
    </xf>
    <xf numFmtId="165" fontId="21" fillId="0" borderId="7" xfId="6" applyNumberFormat="1" applyFont="1" applyFill="1" applyBorder="1" applyAlignment="1" applyProtection="1">
      <alignment horizontal="center" vertical="center" wrapText="1"/>
    </xf>
    <xf numFmtId="165" fontId="21" fillId="0" borderId="60" xfId="6" applyNumberFormat="1" applyFont="1" applyFill="1" applyBorder="1" applyAlignment="1" applyProtection="1">
      <alignment horizontal="center" vertical="center" wrapText="1"/>
    </xf>
    <xf numFmtId="165" fontId="25" fillId="0" borderId="61" xfId="6" applyNumberFormat="1" applyFont="1" applyFill="1" applyBorder="1" applyAlignment="1" applyProtection="1">
      <alignment horizontal="center" vertical="center" wrapText="1"/>
    </xf>
    <xf numFmtId="165" fontId="25" fillId="0" borderId="34" xfId="6" applyNumberFormat="1" applyFont="1" applyFill="1" applyBorder="1" applyAlignment="1" applyProtection="1">
      <alignment horizontal="center" vertical="center" wrapText="1"/>
    </xf>
    <xf numFmtId="165" fontId="25" fillId="0" borderId="62" xfId="6" applyNumberFormat="1" applyFont="1" applyFill="1" applyBorder="1" applyAlignment="1" applyProtection="1">
      <alignment horizontal="center" vertical="center" wrapText="1"/>
    </xf>
    <xf numFmtId="165" fontId="21" fillId="0" borderId="59" xfId="6" applyNumberFormat="1" applyFont="1" applyFill="1" applyBorder="1" applyAlignment="1" applyProtection="1">
      <alignment horizontal="left" vertical="center" wrapText="1"/>
    </xf>
    <xf numFmtId="165" fontId="25" fillId="0" borderId="7" xfId="6" applyNumberFormat="1" applyFont="1" applyFill="1" applyBorder="1" applyAlignment="1" applyProtection="1">
      <alignment vertical="center" wrapText="1"/>
    </xf>
    <xf numFmtId="165" fontId="25" fillId="0" borderId="60" xfId="6" applyNumberFormat="1" applyFont="1" applyFill="1" applyBorder="1" applyAlignment="1" applyProtection="1">
      <alignment vertical="center" wrapText="1"/>
    </xf>
    <xf numFmtId="165" fontId="34" fillId="0" borderId="0" xfId="6" applyNumberFormat="1" applyFont="1" applyFill="1" applyAlignment="1">
      <alignment horizontal="left" vertical="center" wrapText="1"/>
    </xf>
    <xf numFmtId="165" fontId="10" fillId="0" borderId="0" xfId="6" applyNumberFormat="1" applyFill="1" applyAlignment="1">
      <alignment horizontal="center" vertical="center" wrapText="1"/>
    </xf>
    <xf numFmtId="0" fontId="10" fillId="0" borderId="0" xfId="6" applyFill="1"/>
    <xf numFmtId="0" fontId="57" fillId="0" borderId="0" xfId="6" applyFont="1" applyFill="1" applyProtection="1"/>
    <xf numFmtId="0" fontId="20" fillId="0" borderId="0" xfId="6" applyFont="1" applyFill="1" applyProtection="1"/>
    <xf numFmtId="0" fontId="20" fillId="0" borderId="0" xfId="6" applyFont="1" applyFill="1" applyProtection="1">
      <protection locked="0"/>
    </xf>
    <xf numFmtId="0" fontId="10" fillId="0" borderId="0" xfId="6" applyFill="1" applyProtection="1"/>
    <xf numFmtId="0" fontId="10" fillId="0" borderId="0" xfId="6" applyFill="1" applyProtection="1">
      <protection locked="0"/>
    </xf>
    <xf numFmtId="0" fontId="56" fillId="0" borderId="0" xfId="6" applyFont="1" applyFill="1" applyProtection="1"/>
    <xf numFmtId="0" fontId="56" fillId="0" borderId="0" xfId="6" applyFont="1" applyFill="1"/>
    <xf numFmtId="0" fontId="21" fillId="0" borderId="22" xfId="6" applyFont="1" applyFill="1" applyBorder="1" applyAlignment="1" applyProtection="1">
      <alignment horizontal="center" vertical="center" wrapText="1"/>
    </xf>
    <xf numFmtId="0" fontId="21" fillId="0" borderId="7" xfId="6" applyFont="1" applyFill="1" applyBorder="1" applyAlignment="1" applyProtection="1">
      <alignment horizontal="center" vertical="center" wrapText="1"/>
    </xf>
    <xf numFmtId="0" fontId="21" fillId="0" borderId="8" xfId="6" applyFont="1" applyFill="1" applyBorder="1" applyAlignment="1" applyProtection="1">
      <alignment horizontal="center" vertical="center" wrapText="1"/>
    </xf>
    <xf numFmtId="0" fontId="24" fillId="0" borderId="0" xfId="6" applyFont="1" applyFill="1" applyAlignment="1">
      <alignment horizontal="center" vertical="center" wrapText="1"/>
    </xf>
    <xf numFmtId="0" fontId="34" fillId="0" borderId="24" xfId="6" applyFont="1" applyFill="1" applyBorder="1" applyAlignment="1" applyProtection="1">
      <alignment horizontal="center" vertical="center"/>
    </xf>
    <xf numFmtId="0" fontId="34" fillId="0" borderId="25" xfId="6" applyFont="1" applyFill="1" applyBorder="1" applyAlignment="1" applyProtection="1">
      <alignment vertical="center" wrapText="1"/>
    </xf>
    <xf numFmtId="165" fontId="34" fillId="0" borderId="25" xfId="6" applyNumberFormat="1" applyFont="1" applyFill="1" applyBorder="1" applyAlignment="1" applyProtection="1">
      <alignment vertical="center"/>
      <protection locked="0"/>
    </xf>
    <xf numFmtId="165" fontId="33" fillId="0" borderId="11" xfId="6" applyNumberFormat="1" applyFont="1" applyFill="1" applyBorder="1" applyAlignment="1" applyProtection="1">
      <alignment vertical="center"/>
    </xf>
    <xf numFmtId="0" fontId="34" fillId="0" borderId="27" xfId="6" applyFont="1" applyFill="1" applyBorder="1" applyAlignment="1" applyProtection="1">
      <alignment horizontal="center" vertical="center"/>
    </xf>
    <xf numFmtId="0" fontId="34" fillId="0" borderId="28" xfId="6" applyFont="1" applyFill="1" applyBorder="1" applyAlignment="1" applyProtection="1">
      <alignment vertical="center" wrapText="1"/>
    </xf>
    <xf numFmtId="165" fontId="34" fillId="0" borderId="28" xfId="6" applyNumberFormat="1" applyFont="1" applyFill="1" applyBorder="1" applyAlignment="1" applyProtection="1">
      <alignment vertical="center"/>
      <protection locked="0"/>
    </xf>
    <xf numFmtId="165" fontId="33" fillId="0" borderId="10" xfId="6" applyNumberFormat="1" applyFont="1" applyFill="1" applyBorder="1" applyAlignment="1" applyProtection="1">
      <alignment vertical="center"/>
    </xf>
    <xf numFmtId="0" fontId="34" fillId="0" borderId="29" xfId="6" applyFont="1" applyFill="1" applyBorder="1" applyAlignment="1" applyProtection="1">
      <alignment horizontal="center" vertical="center"/>
    </xf>
    <xf numFmtId="0" fontId="34" fillId="0" borderId="30" xfId="6" applyFont="1" applyFill="1" applyBorder="1" applyAlignment="1" applyProtection="1">
      <alignment vertical="center" wrapText="1"/>
    </xf>
    <xf numFmtId="165" fontId="34" fillId="0" borderId="30" xfId="6" applyNumberFormat="1" applyFont="1" applyFill="1" applyBorder="1" applyAlignment="1" applyProtection="1">
      <alignment vertical="center"/>
      <protection locked="0"/>
    </xf>
    <xf numFmtId="165" fontId="33" fillId="0" borderId="31" xfId="6" applyNumberFormat="1" applyFont="1" applyFill="1" applyBorder="1" applyAlignment="1" applyProtection="1">
      <alignment vertical="center"/>
    </xf>
    <xf numFmtId="0" fontId="33" fillId="0" borderId="22" xfId="6" applyFont="1" applyFill="1" applyBorder="1" applyAlignment="1" applyProtection="1">
      <alignment horizontal="center" vertical="center"/>
    </xf>
    <xf numFmtId="0" fontId="36" fillId="0" borderId="7" xfId="6" applyFont="1" applyFill="1" applyBorder="1" applyAlignment="1" applyProtection="1">
      <alignment vertical="center" wrapText="1"/>
    </xf>
    <xf numFmtId="165" fontId="33" fillId="0" borderId="7" xfId="6" applyNumberFormat="1" applyFont="1" applyFill="1" applyBorder="1" applyAlignment="1" applyProtection="1">
      <alignment vertical="center"/>
    </xf>
    <xf numFmtId="165" fontId="33" fillId="0" borderId="8" xfId="6" applyNumberFormat="1" applyFont="1" applyFill="1" applyBorder="1" applyAlignment="1" applyProtection="1">
      <alignment vertical="center"/>
    </xf>
    <xf numFmtId="0" fontId="24" fillId="0" borderId="0" xfId="6" applyFont="1" applyFill="1"/>
    <xf numFmtId="0" fontId="10" fillId="0" borderId="0" xfId="6" applyFill="1" applyBorder="1"/>
    <xf numFmtId="0" fontId="23" fillId="0" borderId="0" xfId="6" applyFont="1" applyFill="1" applyBorder="1" applyAlignment="1">
      <alignment horizontal="center"/>
    </xf>
    <xf numFmtId="0" fontId="36" fillId="0" borderId="35" xfId="6" applyFont="1" applyBorder="1" applyAlignment="1" applyProtection="1">
      <alignment horizontal="center" vertical="center" wrapText="1"/>
    </xf>
    <xf numFmtId="0" fontId="36" fillId="0" borderId="19" xfId="6" applyFont="1" applyBorder="1" applyAlignment="1" applyProtection="1">
      <alignment horizontal="center" vertical="center"/>
    </xf>
    <xf numFmtId="0" fontId="36" fillId="0" borderId="21" xfId="6" applyFont="1" applyBorder="1" applyAlignment="1" applyProtection="1">
      <alignment horizontal="center" vertical="center" wrapText="1"/>
    </xf>
    <xf numFmtId="0" fontId="34" fillId="0" borderId="27" xfId="6" applyFont="1" applyBorder="1" applyAlignment="1" applyProtection="1">
      <alignment horizontal="right" vertical="center" indent="1"/>
    </xf>
    <xf numFmtId="0" fontId="34" fillId="0" borderId="28" xfId="6" applyFont="1" applyBorder="1" applyAlignment="1" applyProtection="1">
      <alignment horizontal="left" vertical="center" wrapText="1" indent="1"/>
      <protection locked="0"/>
    </xf>
    <xf numFmtId="0" fontId="34" fillId="0" borderId="28" xfId="6" applyFont="1" applyBorder="1" applyAlignment="1" applyProtection="1">
      <alignment horizontal="left" vertical="center" indent="1"/>
      <protection locked="0"/>
    </xf>
    <xf numFmtId="3" fontId="34" fillId="0" borderId="10" xfId="6" applyNumberFormat="1" applyFont="1" applyBorder="1" applyAlignment="1" applyProtection="1">
      <alignment horizontal="right" vertical="center" indent="1"/>
      <protection locked="0"/>
    </xf>
    <xf numFmtId="3" fontId="10" fillId="0" borderId="0" xfId="6" applyNumberFormat="1"/>
    <xf numFmtId="3" fontId="34" fillId="0" borderId="10" xfId="6" applyNumberFormat="1" applyFont="1" applyFill="1" applyBorder="1" applyAlignment="1" applyProtection="1">
      <alignment horizontal="right" vertical="center" indent="1"/>
      <protection locked="0"/>
    </xf>
    <xf numFmtId="0" fontId="34" fillId="0" borderId="30" xfId="6" applyFont="1" applyBorder="1" applyAlignment="1" applyProtection="1">
      <alignment horizontal="left" vertical="center" indent="1"/>
      <protection locked="0"/>
    </xf>
    <xf numFmtId="3" fontId="34" fillId="0" borderId="31" xfId="6" applyNumberFormat="1" applyFont="1" applyFill="1" applyBorder="1" applyAlignment="1" applyProtection="1">
      <alignment horizontal="right" vertical="center" indent="1"/>
      <protection locked="0"/>
    </xf>
    <xf numFmtId="165" fontId="45" fillId="4" borderId="6" xfId="6" applyNumberFormat="1" applyFont="1" applyFill="1" applyBorder="1" applyAlignment="1" applyProtection="1">
      <alignment horizontal="left" vertical="center" wrapText="1" indent="2"/>
    </xf>
    <xf numFmtId="3" fontId="40" fillId="0" borderId="8" xfId="6" applyNumberFormat="1" applyFont="1" applyFill="1" applyBorder="1" applyAlignment="1" applyProtection="1">
      <alignment horizontal="right" vertical="center" indent="1"/>
    </xf>
    <xf numFmtId="0" fontId="34" fillId="0" borderId="0" xfId="6" applyFont="1"/>
    <xf numFmtId="49" fontId="28" fillId="6" borderId="28" xfId="6" applyNumberFormat="1" applyFont="1" applyFill="1" applyBorder="1" applyAlignment="1" applyProtection="1">
      <alignment horizontal="left" wrapText="1" indent="1"/>
    </xf>
    <xf numFmtId="165" fontId="27" fillId="6" borderId="14" xfId="12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28" xfId="12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30" xfId="12" applyNumberFormat="1" applyFont="1" applyFill="1" applyBorder="1" applyAlignment="1" applyProtection="1">
      <alignment horizontal="right" vertical="center" wrapText="1" indent="1"/>
      <protection locked="0"/>
    </xf>
    <xf numFmtId="165" fontId="27" fillId="10" borderId="63" xfId="12" applyNumberFormat="1" applyFont="1" applyFill="1" applyBorder="1" applyAlignment="1" applyProtection="1">
      <alignment horizontal="right" vertical="center" wrapText="1" indent="1"/>
      <protection locked="0"/>
    </xf>
    <xf numFmtId="165" fontId="40" fillId="6" borderId="27" xfId="6" applyNumberFormat="1" applyFont="1" applyFill="1" applyBorder="1" applyAlignment="1" applyProtection="1">
      <alignment horizontal="left" vertical="center" wrapText="1" indent="1"/>
      <protection locked="0"/>
    </xf>
    <xf numFmtId="165" fontId="42" fillId="0" borderId="64" xfId="6" applyNumberFormat="1" applyFont="1" applyFill="1" applyBorder="1" applyAlignment="1" applyProtection="1">
      <alignment horizontal="left" vertical="center"/>
      <protection locked="0"/>
    </xf>
    <xf numFmtId="165" fontId="42" fillId="0" borderId="28" xfId="6" applyNumberFormat="1" applyFont="1" applyFill="1" applyBorder="1" applyAlignment="1" applyProtection="1">
      <alignment vertical="center"/>
      <protection locked="0"/>
    </xf>
    <xf numFmtId="49" fontId="42" fillId="0" borderId="28" xfId="6" applyNumberFormat="1" applyFont="1" applyFill="1" applyBorder="1" applyAlignment="1" applyProtection="1">
      <alignment horizontal="center" vertical="center"/>
      <protection locked="0"/>
    </xf>
    <xf numFmtId="165" fontId="42" fillId="0" borderId="65" xfId="6" applyNumberFormat="1" applyFont="1" applyFill="1" applyBorder="1" applyAlignment="1" applyProtection="1">
      <alignment vertical="center"/>
    </xf>
    <xf numFmtId="0" fontId="26" fillId="0" borderId="0" xfId="13" applyFill="1" applyProtection="1">
      <protection locked="0"/>
    </xf>
    <xf numFmtId="0" fontId="26" fillId="0" borderId="0" xfId="13" applyFill="1" applyProtection="1"/>
    <xf numFmtId="0" fontId="23" fillId="0" borderId="0" xfId="6" applyFont="1" applyFill="1" applyAlignment="1">
      <alignment horizontal="right"/>
    </xf>
    <xf numFmtId="0" fontId="36" fillId="0" borderId="35" xfId="13" applyFont="1" applyFill="1" applyBorder="1" applyAlignment="1" applyProtection="1">
      <alignment horizontal="center" vertical="center" wrapText="1"/>
    </xf>
    <xf numFmtId="0" fontId="36" fillId="0" borderId="19" xfId="13" applyFont="1" applyFill="1" applyBorder="1" applyAlignment="1" applyProtection="1">
      <alignment horizontal="center" vertical="center"/>
    </xf>
    <xf numFmtId="0" fontId="36" fillId="0" borderId="21" xfId="13" applyFont="1" applyFill="1" applyBorder="1" applyAlignment="1" applyProtection="1">
      <alignment horizontal="center" vertical="center"/>
    </xf>
    <xf numFmtId="0" fontId="27" fillId="0" borderId="22" xfId="13" applyFont="1" applyFill="1" applyBorder="1" applyAlignment="1" applyProtection="1">
      <alignment horizontal="left" vertical="center" indent="1"/>
    </xf>
    <xf numFmtId="0" fontId="26" fillId="0" borderId="0" xfId="13" applyFill="1" applyAlignment="1" applyProtection="1">
      <alignment vertical="center"/>
    </xf>
    <xf numFmtId="0" fontId="27" fillId="0" borderId="38" xfId="13" applyFont="1" applyFill="1" applyBorder="1" applyAlignment="1" applyProtection="1">
      <alignment horizontal="left" vertical="center" indent="1"/>
    </xf>
    <xf numFmtId="0" fontId="27" fillId="0" borderId="39" xfId="13" applyFont="1" applyFill="1" applyBorder="1" applyAlignment="1" applyProtection="1">
      <alignment horizontal="left" vertical="center" wrapText="1" indent="1"/>
    </xf>
    <xf numFmtId="165" fontId="27" fillId="0" borderId="39" xfId="13" applyNumberFormat="1" applyFont="1" applyFill="1" applyBorder="1" applyAlignment="1" applyProtection="1">
      <alignment vertical="center"/>
      <protection locked="0"/>
    </xf>
    <xf numFmtId="165" fontId="27" fillId="0" borderId="46" xfId="13" applyNumberFormat="1" applyFont="1" applyFill="1" applyBorder="1" applyAlignment="1" applyProtection="1">
      <alignment vertical="center"/>
    </xf>
    <xf numFmtId="0" fontId="27" fillId="0" borderId="27" xfId="13" applyFont="1" applyFill="1" applyBorder="1" applyAlignment="1" applyProtection="1">
      <alignment horizontal="left" vertical="center" indent="1"/>
    </xf>
    <xf numFmtId="0" fontId="27" fillId="0" borderId="28" xfId="13" applyFont="1" applyFill="1" applyBorder="1" applyAlignment="1" applyProtection="1">
      <alignment horizontal="left" vertical="center" wrapText="1" indent="1"/>
    </xf>
    <xf numFmtId="165" fontId="27" fillId="0" borderId="28" xfId="13" applyNumberFormat="1" applyFont="1" applyFill="1" applyBorder="1" applyAlignment="1" applyProtection="1">
      <alignment vertical="center"/>
      <protection locked="0"/>
    </xf>
    <xf numFmtId="165" fontId="27" fillId="0" borderId="10" xfId="13" applyNumberFormat="1" applyFont="1" applyFill="1" applyBorder="1" applyAlignment="1" applyProtection="1">
      <alignment vertical="center"/>
    </xf>
    <xf numFmtId="0" fontId="26" fillId="0" borderId="0" xfId="13" applyFill="1" applyAlignment="1" applyProtection="1">
      <alignment vertical="center"/>
      <protection locked="0"/>
    </xf>
    <xf numFmtId="0" fontId="27" fillId="0" borderId="25" xfId="13" applyFont="1" applyFill="1" applyBorder="1" applyAlignment="1" applyProtection="1">
      <alignment horizontal="left" vertical="center" wrapText="1" indent="1"/>
    </xf>
    <xf numFmtId="165" fontId="27" fillId="0" borderId="25" xfId="13" applyNumberFormat="1" applyFont="1" applyFill="1" applyBorder="1" applyAlignment="1" applyProtection="1">
      <alignment vertical="center"/>
      <protection locked="0"/>
    </xf>
    <xf numFmtId="165" fontId="27" fillId="0" borderId="11" xfId="13" applyNumberFormat="1" applyFont="1" applyFill="1" applyBorder="1" applyAlignment="1" applyProtection="1">
      <alignment vertical="center"/>
    </xf>
    <xf numFmtId="0" fontId="27" fillId="0" borderId="28" xfId="13" applyFont="1" applyFill="1" applyBorder="1" applyAlignment="1" applyProtection="1">
      <alignment horizontal="left" vertical="center" indent="1"/>
    </xf>
    <xf numFmtId="0" fontId="21" fillId="0" borderId="7" xfId="13" applyFont="1" applyFill="1" applyBorder="1" applyAlignment="1" applyProtection="1">
      <alignment horizontal="left" vertical="center" indent="1"/>
    </xf>
    <xf numFmtId="165" fontId="25" fillId="0" borderId="7" xfId="13" applyNumberFormat="1" applyFont="1" applyFill="1" applyBorder="1" applyAlignment="1" applyProtection="1">
      <alignment vertical="center"/>
    </xf>
    <xf numFmtId="165" fontId="25" fillId="0" borderId="8" xfId="13" applyNumberFormat="1" applyFont="1" applyFill="1" applyBorder="1" applyAlignment="1" applyProtection="1">
      <alignment vertical="center"/>
    </xf>
    <xf numFmtId="0" fontId="27" fillId="0" borderId="24" xfId="13" applyFont="1" applyFill="1" applyBorder="1" applyAlignment="1" applyProtection="1">
      <alignment horizontal="left" vertical="center" indent="1"/>
    </xf>
    <xf numFmtId="0" fontId="27" fillId="0" borderId="25" xfId="13" applyFont="1" applyFill="1" applyBorder="1" applyAlignment="1" applyProtection="1">
      <alignment horizontal="left" vertical="center" indent="1"/>
    </xf>
    <xf numFmtId="0" fontId="21" fillId="0" borderId="7" xfId="13" applyFont="1" applyFill="1" applyBorder="1" applyAlignment="1" applyProtection="1">
      <alignment horizontal="left" indent="1"/>
    </xf>
    <xf numFmtId="165" fontId="25" fillId="0" borderId="7" xfId="13" applyNumberFormat="1" applyFont="1" applyFill="1" applyBorder="1" applyProtection="1"/>
    <xf numFmtId="165" fontId="25" fillId="0" borderId="8" xfId="13" applyNumberFormat="1" applyFont="1" applyFill="1" applyBorder="1" applyProtection="1"/>
    <xf numFmtId="0" fontId="45" fillId="0" borderId="0" xfId="13" applyFont="1" applyFill="1" applyProtection="1"/>
    <xf numFmtId="0" fontId="46" fillId="0" borderId="0" xfId="13" applyFont="1" applyFill="1" applyProtection="1">
      <protection locked="0"/>
    </xf>
    <xf numFmtId="0" fontId="48" fillId="0" borderId="0" xfId="13" applyFont="1" applyFill="1" applyProtection="1">
      <protection locked="0"/>
    </xf>
    <xf numFmtId="0" fontId="10" fillId="0" borderId="0" xfId="6" applyFill="1" applyAlignment="1">
      <alignment horizontal="center" vertical="center" wrapText="1"/>
    </xf>
    <xf numFmtId="0" fontId="4" fillId="0" borderId="0" xfId="6" applyFont="1" applyAlignment="1">
      <alignment horizontal="center" wrapText="1"/>
    </xf>
    <xf numFmtId="165" fontId="30" fillId="0" borderId="0" xfId="6" applyNumberFormat="1" applyFont="1" applyFill="1" applyAlignment="1">
      <alignment horizontal="center" vertical="center" wrapText="1"/>
    </xf>
    <xf numFmtId="165" fontId="30" fillId="0" borderId="0" xfId="6" applyNumberFormat="1" applyFont="1" applyFill="1" applyAlignment="1">
      <alignment vertical="center" wrapText="1"/>
    </xf>
    <xf numFmtId="165" fontId="23" fillId="0" borderId="0" xfId="6" applyNumberFormat="1" applyFont="1" applyFill="1" applyAlignment="1">
      <alignment horizontal="right" vertical="center"/>
    </xf>
    <xf numFmtId="0" fontId="21" fillId="0" borderId="22" xfId="6" applyFont="1" applyFill="1" applyBorder="1" applyAlignment="1">
      <alignment horizontal="center" vertical="center" wrapText="1"/>
    </xf>
    <xf numFmtId="0" fontId="25" fillId="0" borderId="22" xfId="6" applyFont="1" applyFill="1" applyBorder="1" applyAlignment="1">
      <alignment horizontal="center" vertical="center" wrapText="1"/>
    </xf>
    <xf numFmtId="0" fontId="25" fillId="0" borderId="7" xfId="6" applyFont="1" applyFill="1" applyBorder="1" applyAlignment="1" applyProtection="1">
      <alignment horizontal="center" vertical="center" wrapText="1"/>
    </xf>
    <xf numFmtId="0" fontId="25" fillId="0" borderId="8" xfId="6" applyFont="1" applyFill="1" applyBorder="1" applyAlignment="1" applyProtection="1">
      <alignment horizontal="center" vertical="center" wrapText="1"/>
    </xf>
    <xf numFmtId="0" fontId="34" fillId="0" borderId="36" xfId="6" applyFont="1" applyFill="1" applyBorder="1" applyAlignment="1">
      <alignment horizontal="center" vertical="center" wrapText="1"/>
    </xf>
    <xf numFmtId="0" fontId="28" fillId="0" borderId="48" xfId="6" applyFont="1" applyFill="1" applyBorder="1" applyAlignment="1" applyProtection="1">
      <alignment horizontal="left" vertical="center" wrapText="1" indent="1"/>
    </xf>
    <xf numFmtId="165" fontId="34" fillId="0" borderId="48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0" borderId="11" xfId="6" applyNumberFormat="1" applyFont="1" applyFill="1" applyBorder="1" applyAlignment="1" applyProtection="1">
      <alignment horizontal="right" vertical="center" wrapText="1" indent="1"/>
      <protection locked="0"/>
    </xf>
    <xf numFmtId="0" fontId="34" fillId="0" borderId="27" xfId="6" applyFont="1" applyFill="1" applyBorder="1" applyAlignment="1">
      <alignment horizontal="center" vertical="center" wrapText="1"/>
    </xf>
    <xf numFmtId="0" fontId="28" fillId="0" borderId="37" xfId="6" applyFont="1" applyFill="1" applyBorder="1" applyAlignment="1" applyProtection="1">
      <alignment horizontal="left" vertical="center" wrapText="1" indent="1"/>
    </xf>
    <xf numFmtId="165" fontId="34" fillId="0" borderId="37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0" borderId="10" xfId="6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37" xfId="6" applyFont="1" applyFill="1" applyBorder="1" applyAlignment="1" applyProtection="1">
      <alignment horizontal="left" vertical="center" wrapText="1" indent="8"/>
    </xf>
    <xf numFmtId="0" fontId="34" fillId="0" borderId="25" xfId="6" applyFont="1" applyFill="1" applyBorder="1" applyAlignment="1" applyProtection="1">
      <alignment vertical="center" wrapText="1"/>
      <protection locked="0"/>
    </xf>
    <xf numFmtId="165" fontId="34" fillId="0" borderId="28" xfId="6" applyNumberFormat="1" applyFont="1" applyFill="1" applyBorder="1" applyAlignment="1" applyProtection="1">
      <alignment horizontal="right" vertical="center" wrapText="1" indent="1"/>
      <protection locked="0"/>
    </xf>
    <xf numFmtId="0" fontId="34" fillId="0" borderId="28" xfId="6" applyFont="1" applyFill="1" applyBorder="1" applyAlignment="1" applyProtection="1">
      <alignment vertical="center" wrapText="1"/>
      <protection locked="0"/>
    </xf>
    <xf numFmtId="0" fontId="34" fillId="0" borderId="29" xfId="6" applyFont="1" applyFill="1" applyBorder="1" applyAlignment="1">
      <alignment horizontal="center" vertical="center" wrapText="1"/>
    </xf>
    <xf numFmtId="0" fontId="34" fillId="0" borderId="16" xfId="6" applyFont="1" applyFill="1" applyBorder="1" applyAlignment="1" applyProtection="1">
      <alignment vertical="center" wrapText="1"/>
      <protection locked="0"/>
    </xf>
    <xf numFmtId="165" fontId="34" fillId="0" borderId="16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0" borderId="12" xfId="6" applyNumberFormat="1" applyFont="1" applyFill="1" applyBorder="1" applyAlignment="1" applyProtection="1">
      <alignment horizontal="right" vertical="center" wrapText="1" indent="1"/>
      <protection locked="0"/>
    </xf>
    <xf numFmtId="0" fontId="33" fillId="0" borderId="22" xfId="6" applyFont="1" applyFill="1" applyBorder="1" applyAlignment="1">
      <alignment horizontal="center" vertical="center" wrapText="1"/>
    </xf>
    <xf numFmtId="0" fontId="36" fillId="0" borderId="34" xfId="6" applyFont="1" applyFill="1" applyBorder="1" applyAlignment="1" applyProtection="1">
      <alignment vertical="center" wrapText="1"/>
    </xf>
    <xf numFmtId="165" fontId="33" fillId="0" borderId="34" xfId="6" applyNumberFormat="1" applyFont="1" applyFill="1" applyBorder="1" applyAlignment="1" applyProtection="1">
      <alignment vertical="center" wrapText="1"/>
    </xf>
    <xf numFmtId="165" fontId="33" fillId="0" borderId="49" xfId="6" applyNumberFormat="1" applyFont="1" applyFill="1" applyBorder="1" applyAlignment="1" applyProtection="1">
      <alignment vertical="center" wrapText="1"/>
    </xf>
    <xf numFmtId="0" fontId="10" fillId="0" borderId="0" xfId="6" applyFill="1" applyAlignment="1">
      <alignment horizontal="right" vertical="center" wrapText="1"/>
    </xf>
    <xf numFmtId="0" fontId="66" fillId="0" borderId="2" xfId="0" applyFont="1" applyBorder="1" applyAlignment="1">
      <alignment vertical="center" wrapText="1"/>
    </xf>
    <xf numFmtId="0" fontId="63" fillId="0" borderId="3" xfId="0" applyFont="1" applyBorder="1" applyAlignment="1">
      <alignment vertical="center" wrapText="1"/>
    </xf>
    <xf numFmtId="3" fontId="63" fillId="7" borderId="3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61" fillId="0" borderId="6" xfId="0" applyFont="1" applyBorder="1" applyAlignment="1">
      <alignment vertical="center" wrapText="1"/>
    </xf>
    <xf numFmtId="3" fontId="61" fillId="7" borderId="8" xfId="0" applyNumberFormat="1" applyFont="1" applyFill="1" applyBorder="1" applyAlignment="1">
      <alignment vertical="center"/>
    </xf>
    <xf numFmtId="3" fontId="14" fillId="11" borderId="2" xfId="0" applyNumberFormat="1" applyFont="1" applyFill="1" applyBorder="1" applyAlignment="1">
      <alignment vertical="center"/>
    </xf>
    <xf numFmtId="3" fontId="62" fillId="11" borderId="6" xfId="0" applyNumberFormat="1" applyFont="1" applyFill="1" applyBorder="1" applyAlignment="1">
      <alignment vertical="center"/>
    </xf>
    <xf numFmtId="3" fontId="63" fillId="11" borderId="3" xfId="0" applyNumberFormat="1" applyFont="1" applyFill="1" applyBorder="1" applyAlignment="1">
      <alignment vertical="center"/>
    </xf>
    <xf numFmtId="3" fontId="61" fillId="11" borderId="6" xfId="0" applyNumberFormat="1" applyFont="1" applyFill="1" applyBorder="1" applyAlignment="1">
      <alignment vertical="center"/>
    </xf>
    <xf numFmtId="3" fontId="14" fillId="11" borderId="1" xfId="0" applyNumberFormat="1" applyFont="1" applyFill="1" applyBorder="1" applyAlignment="1">
      <alignment vertical="center"/>
    </xf>
    <xf numFmtId="3" fontId="63" fillId="11" borderId="2" xfId="0" applyNumberFormat="1" applyFont="1" applyFill="1" applyBorder="1" applyAlignment="1">
      <alignment vertical="center"/>
    </xf>
    <xf numFmtId="3" fontId="17" fillId="11" borderId="2" xfId="0" applyNumberFormat="1" applyFont="1" applyFill="1" applyBorder="1" applyAlignment="1">
      <alignment vertical="center"/>
    </xf>
    <xf numFmtId="3" fontId="61" fillId="11" borderId="2" xfId="0" applyNumberFormat="1" applyFont="1" applyFill="1" applyBorder="1" applyAlignment="1">
      <alignment vertical="center"/>
    </xf>
    <xf numFmtId="3" fontId="16" fillId="11" borderId="2" xfId="0" applyNumberFormat="1" applyFont="1" applyFill="1" applyBorder="1" applyAlignment="1">
      <alignment vertical="center"/>
    </xf>
    <xf numFmtId="3" fontId="17" fillId="11" borderId="5" xfId="0" applyNumberFormat="1" applyFont="1" applyFill="1" applyBorder="1" applyAlignment="1">
      <alignment vertical="center"/>
    </xf>
    <xf numFmtId="3" fontId="1" fillId="11" borderId="2" xfId="0" applyNumberFormat="1" applyFont="1" applyFill="1" applyBorder="1" applyAlignment="1">
      <alignment vertical="center"/>
    </xf>
    <xf numFmtId="3" fontId="66" fillId="11" borderId="2" xfId="0" applyNumberFormat="1" applyFont="1" applyFill="1" applyBorder="1" applyAlignment="1">
      <alignment vertical="center"/>
    </xf>
    <xf numFmtId="3" fontId="17" fillId="11" borderId="1" xfId="0" applyNumberFormat="1" applyFont="1" applyFill="1" applyBorder="1" applyAlignment="1">
      <alignment vertical="center"/>
    </xf>
    <xf numFmtId="3" fontId="0" fillId="7" borderId="25" xfId="0" applyNumberFormat="1" applyFill="1" applyBorder="1" applyAlignment="1">
      <alignment vertical="center"/>
    </xf>
    <xf numFmtId="3" fontId="0" fillId="7" borderId="28" xfId="0" applyNumberFormat="1" applyFill="1" applyBorder="1" applyAlignment="1">
      <alignment vertical="center"/>
    </xf>
    <xf numFmtId="3" fontId="14" fillId="7" borderId="30" xfId="0" applyNumberFormat="1" applyFont="1" applyFill="1" applyBorder="1" applyAlignment="1">
      <alignment vertical="center"/>
    </xf>
    <xf numFmtId="3" fontId="1" fillId="7" borderId="30" xfId="0" applyNumberFormat="1" applyFont="1" applyFill="1" applyBorder="1" applyAlignment="1">
      <alignment vertical="center"/>
    </xf>
    <xf numFmtId="3" fontId="0" fillId="7" borderId="14" xfId="0" applyNumberFormat="1" applyFill="1" applyBorder="1" applyAlignment="1">
      <alignment vertical="center"/>
    </xf>
    <xf numFmtId="3" fontId="0" fillId="7" borderId="16" xfId="0" applyNumberFormat="1" applyFill="1" applyBorder="1" applyAlignment="1">
      <alignment vertical="center"/>
    </xf>
    <xf numFmtId="3" fontId="63" fillId="7" borderId="28" xfId="0" applyNumberFormat="1" applyFont="1" applyFill="1" applyBorder="1" applyAlignment="1">
      <alignment vertical="center"/>
    </xf>
    <xf numFmtId="3" fontId="63" fillId="7" borderId="30" xfId="0" applyNumberFormat="1" applyFont="1" applyFill="1" applyBorder="1" applyAlignment="1">
      <alignment vertical="center"/>
    </xf>
    <xf numFmtId="3" fontId="61" fillId="7" borderId="7" xfId="0" applyNumberFormat="1" applyFont="1" applyFill="1" applyBorder="1" applyAlignment="1">
      <alignment vertical="center"/>
    </xf>
    <xf numFmtId="3" fontId="61" fillId="7" borderId="28" xfId="0" applyNumberFormat="1" applyFont="1" applyFill="1" applyBorder="1" applyAlignment="1">
      <alignment vertical="center"/>
    </xf>
    <xf numFmtId="3" fontId="64" fillId="7" borderId="16" xfId="0" applyNumberFormat="1" applyFont="1" applyFill="1" applyBorder="1" applyAlignment="1">
      <alignment vertical="center"/>
    </xf>
    <xf numFmtId="3" fontId="63" fillId="7" borderId="14" xfId="0" applyNumberFormat="1" applyFont="1" applyFill="1" applyBorder="1" applyAlignment="1">
      <alignment vertical="center"/>
    </xf>
    <xf numFmtId="3" fontId="62" fillId="7" borderId="7" xfId="0" applyNumberFormat="1" applyFont="1" applyFill="1" applyBorder="1" applyAlignment="1">
      <alignment vertical="center"/>
    </xf>
    <xf numFmtId="3" fontId="62" fillId="7" borderId="8" xfId="0" applyNumberFormat="1" applyFont="1" applyFill="1" applyBorder="1" applyAlignment="1">
      <alignment vertical="center"/>
    </xf>
    <xf numFmtId="3" fontId="14" fillId="7" borderId="31" xfId="0" applyNumberFormat="1" applyFont="1" applyFill="1" applyBorder="1" applyAlignment="1">
      <alignment vertical="center"/>
    </xf>
    <xf numFmtId="3" fontId="0" fillId="7" borderId="30" xfId="0" applyNumberFormat="1" applyFill="1" applyBorder="1" applyAlignment="1">
      <alignment vertical="center"/>
    </xf>
    <xf numFmtId="3" fontId="14" fillId="11" borderId="3" xfId="0" applyNumberFormat="1" applyFont="1" applyFill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3" fontId="14" fillId="7" borderId="7" xfId="0" applyNumberFormat="1" applyFont="1" applyFill="1" applyBorder="1" applyAlignment="1">
      <alignment vertical="center"/>
    </xf>
    <xf numFmtId="3" fontId="14" fillId="7" borderId="8" xfId="0" applyNumberFormat="1" applyFont="1" applyFill="1" applyBorder="1" applyAlignment="1">
      <alignment vertical="center"/>
    </xf>
    <xf numFmtId="3" fontId="14" fillId="11" borderId="6" xfId="0" applyNumberFormat="1" applyFont="1" applyFill="1" applyBorder="1" applyAlignment="1">
      <alignment vertical="center"/>
    </xf>
    <xf numFmtId="3" fontId="14" fillId="7" borderId="46" xfId="0" applyNumberFormat="1" applyFont="1" applyFill="1" applyBorder="1" applyAlignment="1">
      <alignment vertical="center"/>
    </xf>
    <xf numFmtId="3" fontId="1" fillId="7" borderId="9" xfId="0" applyNumberFormat="1" applyFont="1" applyFill="1" applyBorder="1" applyAlignment="1">
      <alignment vertical="center"/>
    </xf>
    <xf numFmtId="3" fontId="1" fillId="11" borderId="5" xfId="0" applyNumberFormat="1" applyFont="1" applyFill="1" applyBorder="1" applyAlignment="1">
      <alignment vertical="center"/>
    </xf>
    <xf numFmtId="3" fontId="1" fillId="7" borderId="10" xfId="0" applyNumberFormat="1" applyFont="1" applyFill="1" applyBorder="1" applyAlignment="1">
      <alignment vertical="center"/>
    </xf>
    <xf numFmtId="3" fontId="1" fillId="7" borderId="11" xfId="0" applyNumberFormat="1" applyFont="1" applyFill="1" applyBorder="1" applyAlignment="1">
      <alignment vertical="center"/>
    </xf>
    <xf numFmtId="3" fontId="1" fillId="7" borderId="31" xfId="0" applyNumberFormat="1" applyFont="1" applyFill="1" applyBorder="1" applyAlignment="1">
      <alignment vertical="center"/>
    </xf>
    <xf numFmtId="3" fontId="1" fillId="11" borderId="3" xfId="0" applyNumberFormat="1" applyFont="1" applyFill="1" applyBorder="1" applyAlignment="1">
      <alignment vertical="center"/>
    </xf>
    <xf numFmtId="3" fontId="1" fillId="11" borderId="1" xfId="0" applyNumberFormat="1" applyFont="1" applyFill="1" applyBorder="1" applyAlignment="1">
      <alignment vertical="center"/>
    </xf>
    <xf numFmtId="3" fontId="16" fillId="11" borderId="3" xfId="0" applyNumberFormat="1" applyFont="1" applyFill="1" applyBorder="1" applyAlignment="1">
      <alignment vertical="center"/>
    </xf>
    <xf numFmtId="3" fontId="63" fillId="7" borderId="25" xfId="0" applyNumberFormat="1" applyFont="1" applyFill="1" applyBorder="1" applyAlignment="1">
      <alignment vertical="center"/>
    </xf>
    <xf numFmtId="3" fontId="61" fillId="8" borderId="8" xfId="0" applyNumberFormat="1" applyFont="1" applyFill="1" applyBorder="1" applyAlignment="1">
      <alignment vertical="center"/>
    </xf>
    <xf numFmtId="3" fontId="0" fillId="7" borderId="11" xfId="0" applyNumberFormat="1" applyFont="1" applyFill="1" applyBorder="1" applyAlignment="1">
      <alignment vertical="center"/>
    </xf>
    <xf numFmtId="3" fontId="16" fillId="11" borderId="1" xfId="0" applyNumberFormat="1" applyFont="1" applyFill="1" applyBorder="1" applyAlignment="1">
      <alignment vertical="center"/>
    </xf>
    <xf numFmtId="3" fontId="64" fillId="7" borderId="7" xfId="0" applyNumberFormat="1" applyFont="1" applyFill="1" applyBorder="1" applyAlignment="1">
      <alignment vertical="center"/>
    </xf>
    <xf numFmtId="3" fontId="64" fillId="7" borderId="8" xfId="0" applyNumberFormat="1" applyFont="1" applyFill="1" applyBorder="1" applyAlignment="1">
      <alignment vertical="center"/>
    </xf>
    <xf numFmtId="3" fontId="64" fillId="11" borderId="6" xfId="0" applyNumberFormat="1" applyFont="1" applyFill="1" applyBorder="1" applyAlignment="1">
      <alignment vertical="center"/>
    </xf>
    <xf numFmtId="0" fontId="63" fillId="0" borderId="44" xfId="0" applyFont="1" applyBorder="1" applyAlignment="1">
      <alignment vertical="center" wrapText="1"/>
    </xf>
    <xf numFmtId="3" fontId="63" fillId="7" borderId="39" xfId="0" applyNumberFormat="1" applyFont="1" applyFill="1" applyBorder="1" applyAlignment="1">
      <alignment vertical="center"/>
    </xf>
    <xf numFmtId="3" fontId="17" fillId="7" borderId="46" xfId="0" applyNumberFormat="1" applyFont="1" applyFill="1" applyBorder="1" applyAlignment="1">
      <alignment vertical="center"/>
    </xf>
    <xf numFmtId="3" fontId="61" fillId="7" borderId="30" xfId="0" applyNumberFormat="1" applyFont="1" applyFill="1" applyBorder="1" applyAlignment="1">
      <alignment vertical="center"/>
    </xf>
    <xf numFmtId="0" fontId="61" fillId="0" borderId="1" xfId="0" applyFont="1" applyBorder="1" applyAlignment="1">
      <alignment vertical="center" wrapText="1"/>
    </xf>
    <xf numFmtId="3" fontId="61" fillId="7" borderId="25" xfId="0" applyNumberFormat="1" applyFont="1" applyFill="1" applyBorder="1" applyAlignment="1">
      <alignment vertical="center"/>
    </xf>
    <xf numFmtId="0" fontId="63" fillId="0" borderId="6" xfId="0" applyFont="1" applyBorder="1" applyAlignment="1">
      <alignment vertical="center" wrapText="1"/>
    </xf>
    <xf numFmtId="0" fontId="66" fillId="0" borderId="1" xfId="0" applyFont="1" applyBorder="1" applyAlignment="1">
      <alignment vertical="center" wrapText="1"/>
    </xf>
    <xf numFmtId="3" fontId="66" fillId="7" borderId="11" xfId="0" applyNumberFormat="1" applyFont="1" applyFill="1" applyBorder="1" applyAlignment="1">
      <alignment vertical="center"/>
    </xf>
    <xf numFmtId="3" fontId="66" fillId="11" borderId="1" xfId="0" applyNumberFormat="1" applyFont="1" applyFill="1" applyBorder="1" applyAlignment="1">
      <alignment vertical="center"/>
    </xf>
    <xf numFmtId="0" fontId="67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61" fillId="7" borderId="31" xfId="0" applyNumberFormat="1" applyFont="1" applyFill="1" applyBorder="1" applyAlignment="1">
      <alignment vertical="center"/>
    </xf>
    <xf numFmtId="3" fontId="61" fillId="11" borderId="3" xfId="0" applyNumberFormat="1" applyFont="1" applyFill="1" applyBorder="1" applyAlignment="1">
      <alignment vertical="center"/>
    </xf>
    <xf numFmtId="0" fontId="61" fillId="0" borderId="44" xfId="0" applyFont="1" applyBorder="1" applyAlignment="1">
      <alignment vertical="center" wrapText="1"/>
    </xf>
    <xf numFmtId="3" fontId="14" fillId="11" borderId="44" xfId="0" applyNumberFormat="1" applyFont="1" applyFill="1" applyBorder="1" applyAlignment="1">
      <alignment vertical="center"/>
    </xf>
    <xf numFmtId="165" fontId="27" fillId="6" borderId="16" xfId="12" applyNumberFormat="1" applyFont="1" applyFill="1" applyBorder="1" applyAlignment="1" applyProtection="1">
      <alignment horizontal="right" vertical="center" wrapText="1" indent="1"/>
      <protection locked="0"/>
    </xf>
    <xf numFmtId="165" fontId="27" fillId="6" borderId="14" xfId="6" applyNumberFormat="1" applyFont="1" applyFill="1" applyBorder="1" applyAlignment="1" applyProtection="1">
      <alignment horizontal="right" vertical="center" wrapText="1" indent="1"/>
      <protection locked="0"/>
    </xf>
    <xf numFmtId="0" fontId="46" fillId="0" borderId="0" xfId="6" applyFont="1" applyFill="1" applyAlignment="1" applyProtection="1">
      <protection locked="0"/>
    </xf>
    <xf numFmtId="0" fontId="23" fillId="0" borderId="0" xfId="0" applyFont="1" applyFill="1" applyAlignment="1">
      <alignment horizontal="right"/>
    </xf>
    <xf numFmtId="165" fontId="45" fillId="0" borderId="39" xfId="13" applyNumberFormat="1" applyFont="1" applyFill="1" applyBorder="1" applyAlignment="1" applyProtection="1">
      <alignment vertical="center"/>
      <protection locked="0"/>
    </xf>
    <xf numFmtId="165" fontId="45" fillId="0" borderId="39" xfId="13" applyNumberFormat="1" applyFont="1" applyFill="1" applyBorder="1" applyAlignment="1" applyProtection="1">
      <alignment vertical="center"/>
    </xf>
    <xf numFmtId="165" fontId="45" fillId="0" borderId="46" xfId="13" quotePrefix="1" applyNumberFormat="1" applyFont="1" applyFill="1" applyBorder="1" applyAlignment="1" applyProtection="1">
      <alignment horizontal="center" vertical="center"/>
    </xf>
    <xf numFmtId="165" fontId="45" fillId="0" borderId="28" xfId="13" applyNumberFormat="1" applyFont="1" applyFill="1" applyBorder="1" applyAlignment="1" applyProtection="1">
      <alignment vertical="center"/>
      <protection locked="0"/>
    </xf>
    <xf numFmtId="165" fontId="45" fillId="0" borderId="10" xfId="13" applyNumberFormat="1" applyFont="1" applyFill="1" applyBorder="1" applyAlignment="1" applyProtection="1">
      <alignment vertical="center"/>
    </xf>
    <xf numFmtId="165" fontId="45" fillId="0" borderId="25" xfId="13" applyNumberFormat="1" applyFont="1" applyFill="1" applyBorder="1" applyAlignment="1" applyProtection="1">
      <alignment vertical="center"/>
      <protection locked="0"/>
    </xf>
    <xf numFmtId="165" fontId="24" fillId="0" borderId="7" xfId="13" applyNumberFormat="1" applyFont="1" applyFill="1" applyBorder="1" applyAlignment="1" applyProtection="1">
      <alignment vertical="center"/>
    </xf>
    <xf numFmtId="165" fontId="24" fillId="0" borderId="8" xfId="13" quotePrefix="1" applyNumberFormat="1" applyFont="1" applyFill="1" applyBorder="1" applyAlignment="1" applyProtection="1">
      <alignment horizontal="right" vertical="center"/>
    </xf>
    <xf numFmtId="165" fontId="45" fillId="0" borderId="11" xfId="13" applyNumberFormat="1" applyFont="1" applyFill="1" applyBorder="1" applyAlignment="1" applyProtection="1">
      <alignment vertical="center"/>
    </xf>
    <xf numFmtId="0" fontId="25" fillId="0" borderId="22" xfId="13" applyFont="1" applyFill="1" applyBorder="1" applyAlignment="1" applyProtection="1">
      <alignment horizontal="left" vertical="center" indent="1"/>
    </xf>
    <xf numFmtId="165" fontId="24" fillId="0" borderId="8" xfId="13" applyNumberFormat="1" applyFont="1" applyFill="1" applyBorder="1" applyAlignment="1" applyProtection="1">
      <alignment vertical="center"/>
    </xf>
    <xf numFmtId="165" fontId="24" fillId="0" borderId="7" xfId="13" applyNumberFormat="1" applyFont="1" applyFill="1" applyBorder="1" applyProtection="1"/>
    <xf numFmtId="165" fontId="24" fillId="0" borderId="8" xfId="13" quotePrefix="1" applyNumberFormat="1" applyFont="1" applyFill="1" applyBorder="1" applyAlignment="1" applyProtection="1">
      <alignment horizontal="center"/>
    </xf>
    <xf numFmtId="3" fontId="14" fillId="7" borderId="16" xfId="0" applyNumberFormat="1" applyFont="1" applyFill="1" applyBorder="1" applyAlignment="1">
      <alignment horizontal="center" vertical="center" wrapText="1"/>
    </xf>
    <xf numFmtId="3" fontId="14" fillId="7" borderId="12" xfId="0" applyNumberFormat="1" applyFont="1" applyFill="1" applyBorder="1" applyAlignment="1">
      <alignment horizontal="center" vertical="center" wrapText="1"/>
    </xf>
    <xf numFmtId="3" fontId="1" fillId="7" borderId="21" xfId="0" applyNumberFormat="1" applyFont="1" applyFill="1" applyBorder="1" applyAlignment="1">
      <alignment vertical="center"/>
    </xf>
    <xf numFmtId="3" fontId="66" fillId="7" borderId="25" xfId="0" applyNumberFormat="1" applyFont="1" applyFill="1" applyBorder="1" applyAlignment="1">
      <alignment vertical="center"/>
    </xf>
    <xf numFmtId="3" fontId="66" fillId="7" borderId="28" xfId="0" applyNumberFormat="1" applyFont="1" applyFill="1" applyBorder="1" applyAlignment="1">
      <alignment vertical="center"/>
    </xf>
    <xf numFmtId="3" fontId="61" fillId="7" borderId="39" xfId="0" applyNumberFormat="1" applyFont="1" applyFill="1" applyBorder="1" applyAlignment="1">
      <alignment vertical="center"/>
    </xf>
    <xf numFmtId="0" fontId="63" fillId="0" borderId="2" xfId="0" applyFont="1" applyBorder="1" applyAlignment="1">
      <alignment vertical="center"/>
    </xf>
    <xf numFmtId="3" fontId="16" fillId="7" borderId="31" xfId="0" applyNumberFormat="1" applyFont="1" applyFill="1" applyBorder="1" applyAlignment="1">
      <alignment vertical="center"/>
    </xf>
    <xf numFmtId="3" fontId="0" fillId="7" borderId="28" xfId="0" applyNumberFormat="1" applyFont="1" applyFill="1" applyBorder="1" applyAlignment="1">
      <alignment vertical="center"/>
    </xf>
    <xf numFmtId="3" fontId="63" fillId="7" borderId="7" xfId="0" applyNumberFormat="1" applyFont="1" applyFill="1" applyBorder="1" applyAlignment="1">
      <alignment vertical="center"/>
    </xf>
    <xf numFmtId="3" fontId="67" fillId="7" borderId="7" xfId="0" applyNumberFormat="1" applyFont="1" applyFill="1" applyBorder="1" applyAlignment="1">
      <alignment vertical="center"/>
    </xf>
    <xf numFmtId="3" fontId="0" fillId="7" borderId="7" xfId="0" applyNumberFormat="1" applyFill="1" applyBorder="1" applyAlignment="1">
      <alignment vertical="center"/>
    </xf>
    <xf numFmtId="3" fontId="14" fillId="8" borderId="12" xfId="0" applyNumberFormat="1" applyFont="1" applyFill="1" applyBorder="1" applyAlignment="1">
      <alignment horizontal="center" vertical="center" wrapText="1"/>
    </xf>
    <xf numFmtId="3" fontId="0" fillId="8" borderId="9" xfId="0" applyNumberFormat="1" applyFont="1" applyFill="1" applyBorder="1" applyAlignment="1">
      <alignment vertical="center"/>
    </xf>
    <xf numFmtId="3" fontId="0" fillId="8" borderId="10" xfId="0" applyNumberFormat="1" applyFont="1" applyFill="1" applyBorder="1" applyAlignment="1">
      <alignment vertical="center"/>
    </xf>
    <xf numFmtId="3" fontId="0" fillId="8" borderId="31" xfId="0" applyNumberFormat="1" applyFont="1" applyFill="1" applyBorder="1" applyAlignment="1">
      <alignment vertical="center"/>
    </xf>
    <xf numFmtId="3" fontId="64" fillId="8" borderId="9" xfId="0" applyNumberFormat="1" applyFont="1" applyFill="1" applyBorder="1" applyAlignment="1">
      <alignment vertical="center"/>
    </xf>
    <xf numFmtId="3" fontId="0" fillId="8" borderId="12" xfId="0" applyNumberFormat="1" applyFont="1" applyFill="1" applyBorder="1" applyAlignment="1">
      <alignment vertical="center"/>
    </xf>
    <xf numFmtId="3" fontId="0" fillId="8" borderId="11" xfId="0" applyNumberFormat="1" applyFont="1" applyFill="1" applyBorder="1" applyAlignment="1">
      <alignment vertical="center"/>
    </xf>
    <xf numFmtId="3" fontId="63" fillId="8" borderId="31" xfId="0" applyNumberFormat="1" applyFont="1" applyFill="1" applyBorder="1" applyAlignment="1">
      <alignment vertical="center"/>
    </xf>
    <xf numFmtId="3" fontId="64" fillId="8" borderId="8" xfId="0" applyNumberFormat="1" applyFont="1" applyFill="1" applyBorder="1" applyAlignment="1">
      <alignment vertical="center"/>
    </xf>
    <xf numFmtId="3" fontId="63" fillId="8" borderId="46" xfId="0" applyNumberFormat="1" applyFont="1" applyFill="1" applyBorder="1" applyAlignment="1">
      <alignment vertical="center"/>
    </xf>
    <xf numFmtId="3" fontId="63" fillId="8" borderId="11" xfId="0" applyNumberFormat="1" applyFont="1" applyFill="1" applyBorder="1" applyAlignment="1">
      <alignment vertical="center"/>
    </xf>
    <xf numFmtId="3" fontId="61" fillId="8" borderId="10" xfId="0" applyNumberFormat="1" applyFont="1" applyFill="1" applyBorder="1" applyAlignment="1">
      <alignment vertical="center"/>
    </xf>
    <xf numFmtId="3" fontId="64" fillId="8" borderId="12" xfId="0" applyNumberFormat="1" applyFont="1" applyFill="1" applyBorder="1" applyAlignment="1">
      <alignment vertical="center"/>
    </xf>
    <xf numFmtId="3" fontId="63" fillId="8" borderId="9" xfId="0" applyNumberFormat="1" applyFont="1" applyFill="1" applyBorder="1" applyAlignment="1">
      <alignment vertical="center"/>
    </xf>
    <xf numFmtId="3" fontId="61" fillId="8" borderId="31" xfId="0" applyNumberFormat="1" applyFont="1" applyFill="1" applyBorder="1" applyAlignment="1">
      <alignment vertical="center"/>
    </xf>
    <xf numFmtId="3" fontId="61" fillId="8" borderId="11" xfId="0" applyNumberFormat="1" applyFont="1" applyFill="1" applyBorder="1" applyAlignment="1">
      <alignment vertical="center"/>
    </xf>
    <xf numFmtId="3" fontId="63" fillId="8" borderId="8" xfId="0" applyNumberFormat="1" applyFont="1" applyFill="1" applyBorder="1" applyAlignment="1">
      <alignment vertical="center"/>
    </xf>
    <xf numFmtId="3" fontId="67" fillId="8" borderId="8" xfId="0" applyNumberFormat="1" applyFont="1" applyFill="1" applyBorder="1" applyAlignment="1">
      <alignment vertical="center"/>
    </xf>
    <xf numFmtId="3" fontId="0" fillId="8" borderId="8" xfId="0" applyNumberFormat="1" applyFill="1" applyBorder="1" applyAlignment="1">
      <alignment vertical="center"/>
    </xf>
    <xf numFmtId="3" fontId="66" fillId="8" borderId="11" xfId="0" applyNumberFormat="1" applyFont="1" applyFill="1" applyBorder="1" applyAlignment="1">
      <alignment vertical="center"/>
    </xf>
    <xf numFmtId="3" fontId="66" fillId="8" borderId="10" xfId="0" applyNumberFormat="1" applyFont="1" applyFill="1" applyBorder="1" applyAlignment="1">
      <alignment vertical="center"/>
    </xf>
    <xf numFmtId="3" fontId="61" fillId="8" borderId="46" xfId="0" applyNumberFormat="1" applyFont="1" applyFill="1" applyBorder="1" applyAlignment="1">
      <alignment vertical="center"/>
    </xf>
    <xf numFmtId="3" fontId="0" fillId="8" borderId="11" xfId="0" applyNumberFormat="1" applyFill="1" applyBorder="1" applyAlignment="1">
      <alignment vertical="center"/>
    </xf>
    <xf numFmtId="3" fontId="0" fillId="8" borderId="10" xfId="0" applyNumberFormat="1" applyFill="1" applyBorder="1" applyAlignment="1">
      <alignment vertical="center"/>
    </xf>
    <xf numFmtId="3" fontId="65" fillId="5" borderId="40" xfId="0" applyNumberFormat="1" applyFont="1" applyFill="1" applyBorder="1" applyAlignment="1">
      <alignment vertical="center"/>
    </xf>
    <xf numFmtId="3" fontId="17" fillId="11" borderId="44" xfId="0" applyNumberFormat="1" applyFont="1" applyFill="1" applyBorder="1" applyAlignment="1">
      <alignment vertical="center"/>
    </xf>
    <xf numFmtId="3" fontId="0" fillId="0" borderId="0" xfId="0" applyNumberFormat="1"/>
    <xf numFmtId="0" fontId="68" fillId="0" borderId="0" xfId="0" applyFont="1" applyAlignment="1">
      <alignment vertical="center"/>
    </xf>
    <xf numFmtId="0" fontId="0" fillId="0" borderId="0" xfId="0" applyAlignment="1">
      <alignment vertical="center"/>
    </xf>
    <xf numFmtId="3" fontId="68" fillId="0" borderId="0" xfId="0" applyNumberFormat="1" applyFont="1" applyAlignment="1">
      <alignment vertical="center"/>
    </xf>
    <xf numFmtId="0" fontId="63" fillId="0" borderId="0" xfId="0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9" fillId="6" borderId="54" xfId="10" applyFont="1" applyFill="1" applyBorder="1" applyAlignment="1">
      <alignment horizontal="left"/>
    </xf>
    <xf numFmtId="3" fontId="3" fillId="6" borderId="2" xfId="10" applyNumberFormat="1" applyFont="1" applyFill="1" applyBorder="1" applyAlignment="1">
      <alignment horizontal="right"/>
    </xf>
    <xf numFmtId="3" fontId="3" fillId="6" borderId="27" xfId="10" applyNumberFormat="1" applyFont="1" applyFill="1" applyBorder="1" applyAlignment="1">
      <alignment horizontal="right"/>
    </xf>
    <xf numFmtId="3" fontId="3" fillId="6" borderId="10" xfId="10" applyNumberFormat="1" applyFont="1" applyFill="1" applyBorder="1" applyAlignment="1">
      <alignment horizontal="right"/>
    </xf>
    <xf numFmtId="0" fontId="21" fillId="6" borderId="18" xfId="6" applyFont="1" applyFill="1" applyBorder="1" applyAlignment="1" applyProtection="1">
      <alignment horizontal="center" vertical="center" wrapText="1"/>
    </xf>
    <xf numFmtId="3" fontId="14" fillId="8" borderId="66" xfId="0" applyNumberFormat="1" applyFont="1" applyFill="1" applyBorder="1" applyAlignment="1">
      <alignment horizontal="center" vertical="center" wrapText="1"/>
    </xf>
    <xf numFmtId="3" fontId="1" fillId="8" borderId="67" xfId="0" applyNumberFormat="1" applyFont="1" applyFill="1" applyBorder="1" applyAlignment="1">
      <alignment vertical="center"/>
    </xf>
    <xf numFmtId="3" fontId="1" fillId="8" borderId="48" xfId="0" applyNumberFormat="1" applyFont="1" applyFill="1" applyBorder="1" applyAlignment="1">
      <alignment vertical="center"/>
    </xf>
    <xf numFmtId="3" fontId="1" fillId="8" borderId="37" xfId="0" applyNumberFormat="1" applyFont="1" applyFill="1" applyBorder="1" applyAlignment="1">
      <alignment vertical="center"/>
    </xf>
    <xf numFmtId="3" fontId="1" fillId="8" borderId="68" xfId="0" applyNumberFormat="1" applyFont="1" applyFill="1" applyBorder="1" applyAlignment="1">
      <alignment vertical="center"/>
    </xf>
    <xf numFmtId="3" fontId="14" fillId="8" borderId="40" xfId="0" applyNumberFormat="1" applyFont="1" applyFill="1" applyBorder="1" applyAlignment="1">
      <alignment vertical="center"/>
    </xf>
    <xf numFmtId="3" fontId="1" fillId="8" borderId="50" xfId="0" applyNumberFormat="1" applyFont="1" applyFill="1" applyBorder="1" applyAlignment="1">
      <alignment vertical="center"/>
    </xf>
    <xf numFmtId="3" fontId="62" fillId="8" borderId="40" xfId="0" applyNumberFormat="1" applyFont="1" applyFill="1" applyBorder="1" applyAlignment="1">
      <alignment vertical="center"/>
    </xf>
    <xf numFmtId="3" fontId="63" fillId="8" borderId="37" xfId="0" applyNumberFormat="1" applyFont="1" applyFill="1" applyBorder="1" applyAlignment="1">
      <alignment vertical="center"/>
    </xf>
    <xf numFmtId="3" fontId="63" fillId="8" borderId="68" xfId="0" applyNumberFormat="1" applyFont="1" applyFill="1" applyBorder="1" applyAlignment="1">
      <alignment vertical="center"/>
    </xf>
    <xf numFmtId="3" fontId="61" fillId="8" borderId="40" xfId="0" applyNumberFormat="1" applyFont="1" applyFill="1" applyBorder="1" applyAlignment="1">
      <alignment vertical="center"/>
    </xf>
    <xf numFmtId="3" fontId="16" fillId="8" borderId="68" xfId="0" applyNumberFormat="1" applyFont="1" applyFill="1" applyBorder="1" applyAlignment="1">
      <alignment vertical="center"/>
    </xf>
    <xf numFmtId="3" fontId="0" fillId="8" borderId="48" xfId="0" applyNumberFormat="1" applyFont="1" applyFill="1" applyBorder="1" applyAlignment="1">
      <alignment vertical="center"/>
    </xf>
    <xf numFmtId="3" fontId="0" fillId="8" borderId="37" xfId="0" applyNumberFormat="1" applyFont="1" applyFill="1" applyBorder="1" applyAlignment="1">
      <alignment vertical="center"/>
    </xf>
    <xf numFmtId="3" fontId="64" fillId="8" borderId="40" xfId="0" applyNumberFormat="1" applyFont="1" applyFill="1" applyBorder="1" applyAlignment="1">
      <alignment vertical="center"/>
    </xf>
    <xf numFmtId="3" fontId="17" fillId="8" borderId="50" xfId="0" applyNumberFormat="1" applyFont="1" applyFill="1" applyBorder="1" applyAlignment="1">
      <alignment vertical="center"/>
    </xf>
    <xf numFmtId="3" fontId="14" fillId="8" borderId="48" xfId="0" applyNumberFormat="1" applyFont="1" applyFill="1" applyBorder="1" applyAlignment="1">
      <alignment vertical="center"/>
    </xf>
    <xf numFmtId="3" fontId="61" fillId="8" borderId="37" xfId="0" applyNumberFormat="1" applyFont="1" applyFill="1" applyBorder="1" applyAlignment="1">
      <alignment vertical="center"/>
    </xf>
    <xf numFmtId="3" fontId="14" fillId="8" borderId="37" xfId="0" applyNumberFormat="1" applyFont="1" applyFill="1" applyBorder="1" applyAlignment="1">
      <alignment vertical="center"/>
    </xf>
    <xf numFmtId="3" fontId="64" fillId="8" borderId="66" xfId="0" applyNumberFormat="1" applyFont="1" applyFill="1" applyBorder="1" applyAlignment="1">
      <alignment vertical="center"/>
    </xf>
    <xf numFmtId="3" fontId="14" fillId="8" borderId="67" xfId="0" applyNumberFormat="1" applyFont="1" applyFill="1" applyBorder="1" applyAlignment="1">
      <alignment vertical="center"/>
    </xf>
    <xf numFmtId="3" fontId="14" fillId="8" borderId="68" xfId="0" applyNumberFormat="1" applyFont="1" applyFill="1" applyBorder="1" applyAlignment="1">
      <alignment vertical="center"/>
    </xf>
    <xf numFmtId="3" fontId="66" fillId="8" borderId="48" xfId="0" applyNumberFormat="1" applyFont="1" applyFill="1" applyBorder="1" applyAlignment="1">
      <alignment vertical="center"/>
    </xf>
    <xf numFmtId="3" fontId="66" fillId="8" borderId="37" xfId="0" applyNumberFormat="1" applyFont="1" applyFill="1" applyBorder="1" applyAlignment="1">
      <alignment vertical="center"/>
    </xf>
    <xf numFmtId="3" fontId="61" fillId="8" borderId="68" xfId="0" applyNumberFormat="1" applyFont="1" applyFill="1" applyBorder="1" applyAlignment="1">
      <alignment vertical="center"/>
    </xf>
    <xf numFmtId="3" fontId="14" fillId="8" borderId="50" xfId="0" applyNumberFormat="1" applyFont="1" applyFill="1" applyBorder="1" applyAlignment="1">
      <alignment vertical="center"/>
    </xf>
    <xf numFmtId="3" fontId="64" fillId="11" borderId="4" xfId="0" applyNumberFormat="1" applyFont="1" applyFill="1" applyBorder="1" applyAlignment="1">
      <alignment vertical="center"/>
    </xf>
    <xf numFmtId="3" fontId="1" fillId="12" borderId="5" xfId="0" applyNumberFormat="1" applyFont="1" applyFill="1" applyBorder="1" applyAlignment="1">
      <alignment vertical="center"/>
    </xf>
    <xf numFmtId="3" fontId="1" fillId="12" borderId="2" xfId="0" applyNumberFormat="1" applyFont="1" applyFill="1" applyBorder="1" applyAlignment="1">
      <alignment vertical="center"/>
    </xf>
    <xf numFmtId="3" fontId="1" fillId="12" borderId="3" xfId="0" applyNumberFormat="1" applyFont="1" applyFill="1" applyBorder="1" applyAlignment="1">
      <alignment vertical="center"/>
    </xf>
    <xf numFmtId="3" fontId="14" fillId="12" borderId="6" xfId="0" applyNumberFormat="1" applyFont="1" applyFill="1" applyBorder="1" applyAlignment="1">
      <alignment vertical="center"/>
    </xf>
    <xf numFmtId="3" fontId="62" fillId="12" borderId="6" xfId="0" applyNumberFormat="1" applyFont="1" applyFill="1" applyBorder="1" applyAlignment="1">
      <alignment vertical="center"/>
    </xf>
    <xf numFmtId="3" fontId="63" fillId="12" borderId="2" xfId="0" applyNumberFormat="1" applyFont="1" applyFill="1" applyBorder="1" applyAlignment="1">
      <alignment vertical="center"/>
    </xf>
    <xf numFmtId="3" fontId="63" fillId="12" borderId="3" xfId="0" applyNumberFormat="1" applyFont="1" applyFill="1" applyBorder="1" applyAlignment="1">
      <alignment vertical="center"/>
    </xf>
    <xf numFmtId="3" fontId="61" fillId="12" borderId="6" xfId="0" applyNumberFormat="1" applyFont="1" applyFill="1" applyBorder="1" applyAlignment="1">
      <alignment vertical="center"/>
    </xf>
    <xf numFmtId="3" fontId="1" fillId="12" borderId="1" xfId="0" applyNumberFormat="1" applyFont="1" applyFill="1" applyBorder="1" applyAlignment="1">
      <alignment vertical="center"/>
    </xf>
    <xf numFmtId="3" fontId="16" fillId="12" borderId="3" xfId="0" applyNumberFormat="1" applyFont="1" applyFill="1" applyBorder="1" applyAlignment="1">
      <alignment vertical="center"/>
    </xf>
    <xf numFmtId="3" fontId="16" fillId="12" borderId="2" xfId="0" applyNumberFormat="1" applyFont="1" applyFill="1" applyBorder="1" applyAlignment="1">
      <alignment vertical="center"/>
    </xf>
    <xf numFmtId="3" fontId="16" fillId="12" borderId="1" xfId="0" applyNumberFormat="1" applyFont="1" applyFill="1" applyBorder="1" applyAlignment="1">
      <alignment vertical="center"/>
    </xf>
    <xf numFmtId="3" fontId="64" fillId="12" borderId="6" xfId="0" applyNumberFormat="1" applyFont="1" applyFill="1" applyBorder="1" applyAlignment="1">
      <alignment vertical="center"/>
    </xf>
    <xf numFmtId="3" fontId="17" fillId="12" borderId="44" xfId="0" applyNumberFormat="1" applyFont="1" applyFill="1" applyBorder="1" applyAlignment="1">
      <alignment vertical="center"/>
    </xf>
    <xf numFmtId="3" fontId="17" fillId="12" borderId="1" xfId="0" applyNumberFormat="1" applyFont="1" applyFill="1" applyBorder="1" applyAlignment="1">
      <alignment vertical="center"/>
    </xf>
    <xf numFmtId="3" fontId="61" fillId="12" borderId="2" xfId="0" applyNumberFormat="1" applyFont="1" applyFill="1" applyBorder="1" applyAlignment="1">
      <alignment vertical="center"/>
    </xf>
    <xf numFmtId="3" fontId="17" fillId="12" borderId="2" xfId="0" applyNumberFormat="1" applyFont="1" applyFill="1" applyBorder="1" applyAlignment="1">
      <alignment vertical="center"/>
    </xf>
    <xf numFmtId="3" fontId="64" fillId="12" borderId="4" xfId="0" applyNumberFormat="1" applyFont="1" applyFill="1" applyBorder="1" applyAlignment="1">
      <alignment vertical="center"/>
    </xf>
    <xf numFmtId="3" fontId="17" fillId="12" borderId="5" xfId="0" applyNumberFormat="1" applyFont="1" applyFill="1" applyBorder="1" applyAlignment="1">
      <alignment vertical="center"/>
    </xf>
    <xf numFmtId="3" fontId="14" fillId="12" borderId="2" xfId="0" applyNumberFormat="1" applyFont="1" applyFill="1" applyBorder="1" applyAlignment="1">
      <alignment vertical="center"/>
    </xf>
    <xf numFmtId="3" fontId="14" fillId="12" borderId="3" xfId="0" applyNumberFormat="1" applyFont="1" applyFill="1" applyBorder="1" applyAlignment="1">
      <alignment vertical="center"/>
    </xf>
    <xf numFmtId="3" fontId="14" fillId="12" borderId="1" xfId="0" applyNumberFormat="1" applyFont="1" applyFill="1" applyBorder="1" applyAlignment="1">
      <alignment vertical="center"/>
    </xf>
    <xf numFmtId="3" fontId="66" fillId="12" borderId="1" xfId="0" applyNumberFormat="1" applyFont="1" applyFill="1" applyBorder="1" applyAlignment="1">
      <alignment vertical="center"/>
    </xf>
    <xf numFmtId="3" fontId="66" fillId="12" borderId="2" xfId="0" applyNumberFormat="1" applyFont="1" applyFill="1" applyBorder="1" applyAlignment="1">
      <alignment vertical="center"/>
    </xf>
    <xf numFmtId="3" fontId="61" fillId="12" borderId="3" xfId="0" applyNumberFormat="1" applyFont="1" applyFill="1" applyBorder="1" applyAlignment="1">
      <alignment vertical="center"/>
    </xf>
    <xf numFmtId="3" fontId="14" fillId="12" borderId="44" xfId="0" applyNumberFormat="1" applyFont="1" applyFill="1" applyBorder="1" applyAlignment="1">
      <alignment vertical="center"/>
    </xf>
    <xf numFmtId="3" fontId="1" fillId="13" borderId="5" xfId="0" applyNumberFormat="1" applyFont="1" applyFill="1" applyBorder="1" applyAlignment="1">
      <alignment vertical="center"/>
    </xf>
    <xf numFmtId="3" fontId="1" fillId="13" borderId="2" xfId="0" applyNumberFormat="1" applyFont="1" applyFill="1" applyBorder="1" applyAlignment="1">
      <alignment vertical="center"/>
    </xf>
    <xf numFmtId="3" fontId="1" fillId="13" borderId="3" xfId="0" applyNumberFormat="1" applyFont="1" applyFill="1" applyBorder="1" applyAlignment="1">
      <alignment vertical="center"/>
    </xf>
    <xf numFmtId="3" fontId="14" fillId="13" borderId="6" xfId="0" applyNumberFormat="1" applyFont="1" applyFill="1" applyBorder="1" applyAlignment="1">
      <alignment vertical="center"/>
    </xf>
    <xf numFmtId="3" fontId="62" fillId="13" borderId="6" xfId="0" applyNumberFormat="1" applyFont="1" applyFill="1" applyBorder="1" applyAlignment="1">
      <alignment vertical="center"/>
    </xf>
    <xf numFmtId="3" fontId="63" fillId="13" borderId="2" xfId="0" applyNumberFormat="1" applyFont="1" applyFill="1" applyBorder="1" applyAlignment="1">
      <alignment vertical="center"/>
    </xf>
    <xf numFmtId="3" fontId="63" fillId="13" borderId="3" xfId="0" applyNumberFormat="1" applyFont="1" applyFill="1" applyBorder="1" applyAlignment="1">
      <alignment vertical="center"/>
    </xf>
    <xf numFmtId="3" fontId="61" fillId="13" borderId="6" xfId="0" applyNumberFormat="1" applyFont="1" applyFill="1" applyBorder="1" applyAlignment="1">
      <alignment vertical="center"/>
    </xf>
    <xf numFmtId="3" fontId="1" fillId="13" borderId="1" xfId="0" applyNumberFormat="1" applyFont="1" applyFill="1" applyBorder="1" applyAlignment="1">
      <alignment vertical="center"/>
    </xf>
    <xf numFmtId="3" fontId="16" fillId="13" borderId="3" xfId="0" applyNumberFormat="1" applyFont="1" applyFill="1" applyBorder="1" applyAlignment="1">
      <alignment vertical="center"/>
    </xf>
    <xf numFmtId="3" fontId="16" fillId="13" borderId="2" xfId="0" applyNumberFormat="1" applyFont="1" applyFill="1" applyBorder="1" applyAlignment="1">
      <alignment vertical="center"/>
    </xf>
    <xf numFmtId="3" fontId="16" fillId="13" borderId="1" xfId="0" applyNumberFormat="1" applyFont="1" applyFill="1" applyBorder="1" applyAlignment="1">
      <alignment vertical="center"/>
    </xf>
    <xf numFmtId="3" fontId="64" fillId="13" borderId="6" xfId="0" applyNumberFormat="1" applyFont="1" applyFill="1" applyBorder="1" applyAlignment="1">
      <alignment vertical="center"/>
    </xf>
    <xf numFmtId="3" fontId="17" fillId="13" borderId="44" xfId="0" applyNumberFormat="1" applyFont="1" applyFill="1" applyBorder="1" applyAlignment="1">
      <alignment vertical="center"/>
    </xf>
    <xf numFmtId="3" fontId="17" fillId="13" borderId="1" xfId="0" applyNumberFormat="1" applyFont="1" applyFill="1" applyBorder="1" applyAlignment="1">
      <alignment vertical="center"/>
    </xf>
    <xf numFmtId="3" fontId="61" fillId="13" borderId="2" xfId="0" applyNumberFormat="1" applyFont="1" applyFill="1" applyBorder="1" applyAlignment="1">
      <alignment vertical="center"/>
    </xf>
    <xf numFmtId="3" fontId="17" fillId="13" borderId="2" xfId="0" applyNumberFormat="1" applyFont="1" applyFill="1" applyBorder="1" applyAlignment="1">
      <alignment vertical="center"/>
    </xf>
    <xf numFmtId="3" fontId="64" fillId="13" borderId="4" xfId="0" applyNumberFormat="1" applyFont="1" applyFill="1" applyBorder="1" applyAlignment="1">
      <alignment vertical="center"/>
    </xf>
    <xf numFmtId="3" fontId="17" fillId="13" borderId="5" xfId="0" applyNumberFormat="1" applyFont="1" applyFill="1" applyBorder="1" applyAlignment="1">
      <alignment vertical="center"/>
    </xf>
    <xf numFmtId="3" fontId="14" fillId="13" borderId="2" xfId="0" applyNumberFormat="1" applyFont="1" applyFill="1" applyBorder="1" applyAlignment="1">
      <alignment vertical="center"/>
    </xf>
    <xf numFmtId="3" fontId="14" fillId="13" borderId="3" xfId="0" applyNumberFormat="1" applyFont="1" applyFill="1" applyBorder="1" applyAlignment="1">
      <alignment vertical="center"/>
    </xf>
    <xf numFmtId="3" fontId="14" fillId="13" borderId="1" xfId="0" applyNumberFormat="1" applyFont="1" applyFill="1" applyBorder="1" applyAlignment="1">
      <alignment vertical="center"/>
    </xf>
    <xf numFmtId="3" fontId="66" fillId="13" borderId="1" xfId="0" applyNumberFormat="1" applyFont="1" applyFill="1" applyBorder="1" applyAlignment="1">
      <alignment vertical="center"/>
    </xf>
    <xf numFmtId="3" fontId="66" fillId="13" borderId="2" xfId="0" applyNumberFormat="1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vertical="center"/>
    </xf>
    <xf numFmtId="3" fontId="14" fillId="13" borderId="44" xfId="0" applyNumberFormat="1" applyFont="1" applyFill="1" applyBorder="1" applyAlignment="1">
      <alignment vertical="center"/>
    </xf>
    <xf numFmtId="3" fontId="1" fillId="14" borderId="5" xfId="0" applyNumberFormat="1" applyFont="1" applyFill="1" applyBorder="1" applyAlignment="1">
      <alignment vertical="center"/>
    </xf>
    <xf numFmtId="3" fontId="1" fillId="14" borderId="2" xfId="0" applyNumberFormat="1" applyFont="1" applyFill="1" applyBorder="1" applyAlignment="1">
      <alignment vertical="center"/>
    </xf>
    <xf numFmtId="3" fontId="1" fillId="14" borderId="3" xfId="0" applyNumberFormat="1" applyFont="1" applyFill="1" applyBorder="1" applyAlignment="1">
      <alignment vertical="center"/>
    </xf>
    <xf numFmtId="3" fontId="14" fillId="14" borderId="6" xfId="0" applyNumberFormat="1" applyFont="1" applyFill="1" applyBorder="1" applyAlignment="1">
      <alignment vertical="center"/>
    </xf>
    <xf numFmtId="3" fontId="62" fillId="14" borderId="6" xfId="0" applyNumberFormat="1" applyFont="1" applyFill="1" applyBorder="1" applyAlignment="1">
      <alignment vertical="center"/>
    </xf>
    <xf numFmtId="3" fontId="63" fillId="14" borderId="2" xfId="0" applyNumberFormat="1" applyFont="1" applyFill="1" applyBorder="1" applyAlignment="1">
      <alignment vertical="center"/>
    </xf>
    <xf numFmtId="3" fontId="63" fillId="14" borderId="3" xfId="0" applyNumberFormat="1" applyFont="1" applyFill="1" applyBorder="1" applyAlignment="1">
      <alignment vertical="center"/>
    </xf>
    <xf numFmtId="3" fontId="61" fillId="14" borderId="6" xfId="0" applyNumberFormat="1" applyFont="1" applyFill="1" applyBorder="1" applyAlignment="1">
      <alignment vertical="center"/>
    </xf>
    <xf numFmtId="3" fontId="1" fillId="14" borderId="1" xfId="0" applyNumberFormat="1" applyFont="1" applyFill="1" applyBorder="1" applyAlignment="1">
      <alignment vertical="center"/>
    </xf>
    <xf numFmtId="3" fontId="16" fillId="14" borderId="3" xfId="0" applyNumberFormat="1" applyFont="1" applyFill="1" applyBorder="1" applyAlignment="1">
      <alignment vertical="center"/>
    </xf>
    <xf numFmtId="3" fontId="16" fillId="14" borderId="2" xfId="0" applyNumberFormat="1" applyFont="1" applyFill="1" applyBorder="1" applyAlignment="1">
      <alignment vertical="center"/>
    </xf>
    <xf numFmtId="3" fontId="16" fillId="14" borderId="1" xfId="0" applyNumberFormat="1" applyFont="1" applyFill="1" applyBorder="1" applyAlignment="1">
      <alignment vertical="center"/>
    </xf>
    <xf numFmtId="3" fontId="64" fillId="14" borderId="6" xfId="0" applyNumberFormat="1" applyFont="1" applyFill="1" applyBorder="1" applyAlignment="1">
      <alignment vertical="center"/>
    </xf>
    <xf numFmtId="3" fontId="17" fillId="14" borderId="44" xfId="0" applyNumberFormat="1" applyFont="1" applyFill="1" applyBorder="1" applyAlignment="1">
      <alignment vertical="center"/>
    </xf>
    <xf numFmtId="3" fontId="17" fillId="14" borderId="1" xfId="0" applyNumberFormat="1" applyFont="1" applyFill="1" applyBorder="1" applyAlignment="1">
      <alignment vertical="center"/>
    </xf>
    <xf numFmtId="3" fontId="61" fillId="14" borderId="2" xfId="0" applyNumberFormat="1" applyFont="1" applyFill="1" applyBorder="1" applyAlignment="1">
      <alignment vertical="center"/>
    </xf>
    <xf numFmtId="3" fontId="17" fillId="14" borderId="2" xfId="0" applyNumberFormat="1" applyFont="1" applyFill="1" applyBorder="1" applyAlignment="1">
      <alignment vertical="center"/>
    </xf>
    <xf numFmtId="3" fontId="64" fillId="14" borderId="4" xfId="0" applyNumberFormat="1" applyFont="1" applyFill="1" applyBorder="1" applyAlignment="1">
      <alignment vertical="center"/>
    </xf>
    <xf numFmtId="3" fontId="17" fillId="14" borderId="5" xfId="0" applyNumberFormat="1" applyFont="1" applyFill="1" applyBorder="1" applyAlignment="1">
      <alignment vertical="center"/>
    </xf>
    <xf numFmtId="3" fontId="14" fillId="14" borderId="2" xfId="0" applyNumberFormat="1" applyFont="1" applyFill="1" applyBorder="1" applyAlignment="1">
      <alignment vertical="center"/>
    </xf>
    <xf numFmtId="3" fontId="14" fillId="14" borderId="3" xfId="0" applyNumberFormat="1" applyFont="1" applyFill="1" applyBorder="1" applyAlignment="1">
      <alignment vertical="center"/>
    </xf>
    <xf numFmtId="3" fontId="14" fillId="14" borderId="1" xfId="0" applyNumberFormat="1" applyFont="1" applyFill="1" applyBorder="1" applyAlignment="1">
      <alignment vertical="center"/>
    </xf>
    <xf numFmtId="3" fontId="63" fillId="14" borderId="6" xfId="0" applyNumberFormat="1" applyFont="1" applyFill="1" applyBorder="1" applyAlignment="1">
      <alignment vertical="center"/>
    </xf>
    <xf numFmtId="3" fontId="17" fillId="14" borderId="6" xfId="0" applyNumberFormat="1" applyFont="1" applyFill="1" applyBorder="1" applyAlignment="1">
      <alignment vertical="center"/>
    </xf>
    <xf numFmtId="3" fontId="16" fillId="14" borderId="6" xfId="0" applyNumberFormat="1" applyFont="1" applyFill="1" applyBorder="1" applyAlignment="1">
      <alignment vertical="center"/>
    </xf>
    <xf numFmtId="3" fontId="18" fillId="14" borderId="6" xfId="0" applyNumberFormat="1" applyFont="1" applyFill="1" applyBorder="1" applyAlignment="1">
      <alignment vertical="center"/>
    </xf>
    <xf numFmtId="3" fontId="66" fillId="14" borderId="1" xfId="0" applyNumberFormat="1" applyFont="1" applyFill="1" applyBorder="1" applyAlignment="1">
      <alignment vertical="center"/>
    </xf>
    <xf numFmtId="3" fontId="66" fillId="14" borderId="2" xfId="0" applyNumberFormat="1" applyFont="1" applyFill="1" applyBorder="1" applyAlignment="1">
      <alignment vertical="center"/>
    </xf>
    <xf numFmtId="3" fontId="61" fillId="14" borderId="3" xfId="0" applyNumberFormat="1" applyFont="1" applyFill="1" applyBorder="1" applyAlignment="1">
      <alignment vertical="center"/>
    </xf>
    <xf numFmtId="3" fontId="14" fillId="14" borderId="44" xfId="0" applyNumberFormat="1" applyFont="1" applyFill="1" applyBorder="1" applyAlignment="1">
      <alignment vertical="center"/>
    </xf>
    <xf numFmtId="3" fontId="1" fillId="15" borderId="5" xfId="0" applyNumberFormat="1" applyFont="1" applyFill="1" applyBorder="1" applyAlignment="1">
      <alignment vertical="center"/>
    </xf>
    <xf numFmtId="3" fontId="1" fillId="15" borderId="2" xfId="0" applyNumberFormat="1" applyFont="1" applyFill="1" applyBorder="1" applyAlignment="1">
      <alignment vertical="center"/>
    </xf>
    <xf numFmtId="3" fontId="1" fillId="15" borderId="3" xfId="0" applyNumberFormat="1" applyFont="1" applyFill="1" applyBorder="1" applyAlignment="1">
      <alignment vertical="center"/>
    </xf>
    <xf numFmtId="3" fontId="14" fillId="15" borderId="6" xfId="0" applyNumberFormat="1" applyFont="1" applyFill="1" applyBorder="1" applyAlignment="1">
      <alignment vertical="center"/>
    </xf>
    <xf numFmtId="3" fontId="62" fillId="15" borderId="6" xfId="0" applyNumberFormat="1" applyFont="1" applyFill="1" applyBorder="1" applyAlignment="1">
      <alignment vertical="center"/>
    </xf>
    <xf numFmtId="3" fontId="63" fillId="15" borderId="2" xfId="0" applyNumberFormat="1" applyFont="1" applyFill="1" applyBorder="1" applyAlignment="1">
      <alignment vertical="center"/>
    </xf>
    <xf numFmtId="3" fontId="63" fillId="15" borderId="3" xfId="0" applyNumberFormat="1" applyFont="1" applyFill="1" applyBorder="1" applyAlignment="1">
      <alignment vertical="center"/>
    </xf>
    <xf numFmtId="3" fontId="61" fillId="15" borderId="6" xfId="0" applyNumberFormat="1" applyFont="1" applyFill="1" applyBorder="1" applyAlignment="1">
      <alignment vertical="center"/>
    </xf>
    <xf numFmtId="3" fontId="1" fillId="15" borderId="1" xfId="0" applyNumberFormat="1" applyFont="1" applyFill="1" applyBorder="1" applyAlignment="1">
      <alignment vertical="center"/>
    </xf>
    <xf numFmtId="3" fontId="16" fillId="15" borderId="3" xfId="0" applyNumberFormat="1" applyFont="1" applyFill="1" applyBorder="1" applyAlignment="1">
      <alignment vertical="center"/>
    </xf>
    <xf numFmtId="3" fontId="16" fillId="15" borderId="2" xfId="0" applyNumberFormat="1" applyFont="1" applyFill="1" applyBorder="1" applyAlignment="1">
      <alignment vertical="center"/>
    </xf>
    <xf numFmtId="3" fontId="16" fillId="15" borderId="1" xfId="0" applyNumberFormat="1" applyFont="1" applyFill="1" applyBorder="1" applyAlignment="1">
      <alignment vertical="center"/>
    </xf>
    <xf numFmtId="3" fontId="64" fillId="15" borderId="6" xfId="0" applyNumberFormat="1" applyFont="1" applyFill="1" applyBorder="1" applyAlignment="1">
      <alignment vertical="center"/>
    </xf>
    <xf numFmtId="3" fontId="17" fillId="15" borderId="44" xfId="0" applyNumberFormat="1" applyFont="1" applyFill="1" applyBorder="1" applyAlignment="1">
      <alignment vertical="center"/>
    </xf>
    <xf numFmtId="3" fontId="17" fillId="15" borderId="1" xfId="0" applyNumberFormat="1" applyFont="1" applyFill="1" applyBorder="1" applyAlignment="1">
      <alignment vertical="center"/>
    </xf>
    <xf numFmtId="3" fontId="61" fillId="15" borderId="2" xfId="0" applyNumberFormat="1" applyFont="1" applyFill="1" applyBorder="1" applyAlignment="1">
      <alignment vertical="center"/>
    </xf>
    <xf numFmtId="3" fontId="17" fillId="15" borderId="2" xfId="0" applyNumberFormat="1" applyFont="1" applyFill="1" applyBorder="1" applyAlignment="1">
      <alignment vertical="center"/>
    </xf>
    <xf numFmtId="3" fontId="64" fillId="15" borderId="4" xfId="0" applyNumberFormat="1" applyFont="1" applyFill="1" applyBorder="1" applyAlignment="1">
      <alignment vertical="center"/>
    </xf>
    <xf numFmtId="3" fontId="17" fillId="15" borderId="5" xfId="0" applyNumberFormat="1" applyFont="1" applyFill="1" applyBorder="1" applyAlignment="1">
      <alignment vertical="center"/>
    </xf>
    <xf numFmtId="3" fontId="14" fillId="15" borderId="2" xfId="0" applyNumberFormat="1" applyFont="1" applyFill="1" applyBorder="1" applyAlignment="1">
      <alignment vertical="center"/>
    </xf>
    <xf numFmtId="3" fontId="14" fillId="15" borderId="3" xfId="0" applyNumberFormat="1" applyFont="1" applyFill="1" applyBorder="1" applyAlignment="1">
      <alignment vertical="center"/>
    </xf>
    <xf numFmtId="3" fontId="14" fillId="15" borderId="1" xfId="0" applyNumberFormat="1" applyFont="1" applyFill="1" applyBorder="1" applyAlignment="1">
      <alignment vertical="center"/>
    </xf>
    <xf numFmtId="3" fontId="66" fillId="15" borderId="1" xfId="0" applyNumberFormat="1" applyFont="1" applyFill="1" applyBorder="1" applyAlignment="1">
      <alignment vertical="center"/>
    </xf>
    <xf numFmtId="3" fontId="66" fillId="15" borderId="2" xfId="0" applyNumberFormat="1" applyFont="1" applyFill="1" applyBorder="1" applyAlignment="1">
      <alignment vertical="center"/>
    </xf>
    <xf numFmtId="3" fontId="61" fillId="15" borderId="3" xfId="0" applyNumberFormat="1" applyFont="1" applyFill="1" applyBorder="1" applyAlignment="1">
      <alignment vertical="center"/>
    </xf>
    <xf numFmtId="3" fontId="14" fillId="15" borderId="44" xfId="0" applyNumberFormat="1" applyFont="1" applyFill="1" applyBorder="1" applyAlignment="1">
      <alignment vertical="center"/>
    </xf>
    <xf numFmtId="3" fontId="1" fillId="16" borderId="5" xfId="0" applyNumberFormat="1" applyFont="1" applyFill="1" applyBorder="1" applyAlignment="1">
      <alignment vertical="center"/>
    </xf>
    <xf numFmtId="3" fontId="1" fillId="16" borderId="2" xfId="0" applyNumberFormat="1" applyFont="1" applyFill="1" applyBorder="1" applyAlignment="1">
      <alignment vertical="center"/>
    </xf>
    <xf numFmtId="3" fontId="1" fillId="16" borderId="3" xfId="0" applyNumberFormat="1" applyFont="1" applyFill="1" applyBorder="1" applyAlignment="1">
      <alignment vertical="center"/>
    </xf>
    <xf numFmtId="3" fontId="14" fillId="16" borderId="6" xfId="0" applyNumberFormat="1" applyFont="1" applyFill="1" applyBorder="1" applyAlignment="1">
      <alignment vertical="center"/>
    </xf>
    <xf numFmtId="3" fontId="62" fillId="16" borderId="6" xfId="0" applyNumberFormat="1" applyFont="1" applyFill="1" applyBorder="1" applyAlignment="1">
      <alignment vertical="center"/>
    </xf>
    <xf numFmtId="3" fontId="63" fillId="16" borderId="2" xfId="0" applyNumberFormat="1" applyFont="1" applyFill="1" applyBorder="1" applyAlignment="1">
      <alignment vertical="center"/>
    </xf>
    <xf numFmtId="3" fontId="63" fillId="16" borderId="3" xfId="0" applyNumberFormat="1" applyFont="1" applyFill="1" applyBorder="1" applyAlignment="1">
      <alignment vertical="center"/>
    </xf>
    <xf numFmtId="3" fontId="61" fillId="16" borderId="6" xfId="0" applyNumberFormat="1" applyFont="1" applyFill="1" applyBorder="1" applyAlignment="1">
      <alignment vertical="center"/>
    </xf>
    <xf numFmtId="3" fontId="1" fillId="16" borderId="1" xfId="0" applyNumberFormat="1" applyFont="1" applyFill="1" applyBorder="1" applyAlignment="1">
      <alignment vertical="center"/>
    </xf>
    <xf numFmtId="3" fontId="16" fillId="16" borderId="3" xfId="0" applyNumberFormat="1" applyFont="1" applyFill="1" applyBorder="1" applyAlignment="1">
      <alignment vertical="center"/>
    </xf>
    <xf numFmtId="3" fontId="16" fillId="16" borderId="2" xfId="0" applyNumberFormat="1" applyFont="1" applyFill="1" applyBorder="1" applyAlignment="1">
      <alignment vertical="center"/>
    </xf>
    <xf numFmtId="3" fontId="16" fillId="16" borderId="1" xfId="0" applyNumberFormat="1" applyFont="1" applyFill="1" applyBorder="1" applyAlignment="1">
      <alignment vertical="center"/>
    </xf>
    <xf numFmtId="3" fontId="64" fillId="16" borderId="6" xfId="0" applyNumberFormat="1" applyFont="1" applyFill="1" applyBorder="1" applyAlignment="1">
      <alignment vertical="center"/>
    </xf>
    <xf numFmtId="3" fontId="17" fillId="16" borderId="44" xfId="0" applyNumberFormat="1" applyFont="1" applyFill="1" applyBorder="1" applyAlignment="1">
      <alignment vertical="center"/>
    </xf>
    <xf numFmtId="3" fontId="17" fillId="16" borderId="1" xfId="0" applyNumberFormat="1" applyFont="1" applyFill="1" applyBorder="1" applyAlignment="1">
      <alignment vertical="center"/>
    </xf>
    <xf numFmtId="3" fontId="61" fillId="16" borderId="2" xfId="0" applyNumberFormat="1" applyFont="1" applyFill="1" applyBorder="1" applyAlignment="1">
      <alignment vertical="center"/>
    </xf>
    <xf numFmtId="3" fontId="17" fillId="16" borderId="2" xfId="0" applyNumberFormat="1" applyFont="1" applyFill="1" applyBorder="1" applyAlignment="1">
      <alignment vertical="center"/>
    </xf>
    <xf numFmtId="3" fontId="64" fillId="16" borderId="4" xfId="0" applyNumberFormat="1" applyFont="1" applyFill="1" applyBorder="1" applyAlignment="1">
      <alignment vertical="center"/>
    </xf>
    <xf numFmtId="3" fontId="17" fillId="16" borderId="5" xfId="0" applyNumberFormat="1" applyFont="1" applyFill="1" applyBorder="1" applyAlignment="1">
      <alignment vertical="center"/>
    </xf>
    <xf numFmtId="3" fontId="14" fillId="16" borderId="2" xfId="0" applyNumberFormat="1" applyFont="1" applyFill="1" applyBorder="1" applyAlignment="1">
      <alignment vertical="center"/>
    </xf>
    <xf numFmtId="3" fontId="14" fillId="16" borderId="3" xfId="0" applyNumberFormat="1" applyFont="1" applyFill="1" applyBorder="1" applyAlignment="1">
      <alignment vertical="center"/>
    </xf>
    <xf numFmtId="3" fontId="14" fillId="16" borderId="1" xfId="0" applyNumberFormat="1" applyFont="1" applyFill="1" applyBorder="1" applyAlignment="1">
      <alignment vertical="center"/>
    </xf>
    <xf numFmtId="3" fontId="66" fillId="16" borderId="1" xfId="0" applyNumberFormat="1" applyFont="1" applyFill="1" applyBorder="1" applyAlignment="1">
      <alignment vertical="center"/>
    </xf>
    <xf numFmtId="3" fontId="66" fillId="16" borderId="2" xfId="0" applyNumberFormat="1" applyFont="1" applyFill="1" applyBorder="1" applyAlignment="1">
      <alignment vertical="center"/>
    </xf>
    <xf numFmtId="3" fontId="61" fillId="16" borderId="3" xfId="0" applyNumberFormat="1" applyFont="1" applyFill="1" applyBorder="1" applyAlignment="1">
      <alignment vertical="center"/>
    </xf>
    <xf numFmtId="3" fontId="14" fillId="16" borderId="44" xfId="0" applyNumberFormat="1" applyFont="1" applyFill="1" applyBorder="1" applyAlignment="1">
      <alignment vertical="center"/>
    </xf>
    <xf numFmtId="3" fontId="14" fillId="17" borderId="16" xfId="0" applyNumberFormat="1" applyFont="1" applyFill="1" applyBorder="1" applyAlignment="1">
      <alignment horizontal="center" vertical="center" wrapText="1"/>
    </xf>
    <xf numFmtId="3" fontId="0" fillId="17" borderId="25" xfId="0" applyNumberFormat="1" applyFill="1" applyBorder="1" applyAlignment="1">
      <alignment vertical="center"/>
    </xf>
    <xf numFmtId="3" fontId="0" fillId="17" borderId="28" xfId="0" applyNumberFormat="1" applyFill="1" applyBorder="1" applyAlignment="1">
      <alignment vertical="center"/>
    </xf>
    <xf numFmtId="3" fontId="0" fillId="17" borderId="30" xfId="0" applyNumberFormat="1" applyFill="1" applyBorder="1" applyAlignment="1">
      <alignment vertical="center"/>
    </xf>
    <xf numFmtId="3" fontId="14" fillId="17" borderId="7" xfId="0" applyNumberFormat="1" applyFont="1" applyFill="1" applyBorder="1" applyAlignment="1">
      <alignment vertical="center"/>
    </xf>
    <xf numFmtId="3" fontId="1" fillId="17" borderId="30" xfId="0" applyNumberFormat="1" applyFont="1" applyFill="1" applyBorder="1" applyAlignment="1">
      <alignment vertical="center"/>
    </xf>
    <xf numFmtId="3" fontId="14" fillId="17" borderId="30" xfId="0" applyNumberFormat="1" applyFont="1" applyFill="1" applyBorder="1" applyAlignment="1">
      <alignment vertical="center"/>
    </xf>
    <xf numFmtId="3" fontId="62" fillId="17" borderId="7" xfId="0" applyNumberFormat="1" applyFont="1" applyFill="1" applyBorder="1" applyAlignment="1">
      <alignment vertical="center"/>
    </xf>
    <xf numFmtId="3" fontId="0" fillId="17" borderId="14" xfId="0" applyNumberFormat="1" applyFill="1" applyBorder="1" applyAlignment="1">
      <alignment vertical="center"/>
    </xf>
    <xf numFmtId="3" fontId="0" fillId="17" borderId="16" xfId="0" applyNumberFormat="1" applyFill="1" applyBorder="1" applyAlignment="1">
      <alignment vertical="center"/>
    </xf>
    <xf numFmtId="3" fontId="63" fillId="17" borderId="28" xfId="0" applyNumberFormat="1" applyFont="1" applyFill="1" applyBorder="1" applyAlignment="1">
      <alignment vertical="center"/>
    </xf>
    <xf numFmtId="3" fontId="63" fillId="17" borderId="30" xfId="0" applyNumberFormat="1" applyFont="1" applyFill="1" applyBorder="1" applyAlignment="1">
      <alignment vertical="center"/>
    </xf>
    <xf numFmtId="3" fontId="61" fillId="17" borderId="7" xfId="0" applyNumberFormat="1" applyFont="1" applyFill="1" applyBorder="1" applyAlignment="1">
      <alignment vertical="center"/>
    </xf>
    <xf numFmtId="3" fontId="63" fillId="17" borderId="25" xfId="0" applyNumberFormat="1" applyFont="1" applyFill="1" applyBorder="1" applyAlignment="1">
      <alignment vertical="center"/>
    </xf>
    <xf numFmtId="3" fontId="64" fillId="17" borderId="7" xfId="0" applyNumberFormat="1" applyFont="1" applyFill="1" applyBorder="1" applyAlignment="1">
      <alignment vertical="center"/>
    </xf>
    <xf numFmtId="3" fontId="63" fillId="17" borderId="39" xfId="0" applyNumberFormat="1" applyFont="1" applyFill="1" applyBorder="1" applyAlignment="1">
      <alignment vertical="center"/>
    </xf>
    <xf numFmtId="3" fontId="61" fillId="17" borderId="28" xfId="0" applyNumberFormat="1" applyFont="1" applyFill="1" applyBorder="1" applyAlignment="1">
      <alignment vertical="center"/>
    </xf>
    <xf numFmtId="3" fontId="63" fillId="17" borderId="14" xfId="0" applyNumberFormat="1" applyFont="1" applyFill="1" applyBorder="1" applyAlignment="1">
      <alignment vertical="center"/>
    </xf>
    <xf numFmtId="3" fontId="61" fillId="17" borderId="30" xfId="0" applyNumberFormat="1" applyFont="1" applyFill="1" applyBorder="1" applyAlignment="1">
      <alignment vertical="center"/>
    </xf>
    <xf numFmtId="3" fontId="61" fillId="17" borderId="25" xfId="0" applyNumberFormat="1" applyFont="1" applyFill="1" applyBorder="1" applyAlignment="1">
      <alignment vertical="center"/>
    </xf>
    <xf numFmtId="3" fontId="63" fillId="17" borderId="7" xfId="0" applyNumberFormat="1" applyFont="1" applyFill="1" applyBorder="1" applyAlignment="1">
      <alignment vertical="center"/>
    </xf>
    <xf numFmtId="3" fontId="67" fillId="17" borderId="7" xfId="0" applyNumberFormat="1" applyFont="1" applyFill="1" applyBorder="1" applyAlignment="1">
      <alignment vertical="center"/>
    </xf>
    <xf numFmtId="3" fontId="0" fillId="17" borderId="7" xfId="0" applyNumberFormat="1" applyFill="1" applyBorder="1" applyAlignment="1">
      <alignment vertical="center"/>
    </xf>
    <xf numFmtId="3" fontId="66" fillId="17" borderId="28" xfId="0" applyNumberFormat="1" applyFont="1" applyFill="1" applyBorder="1" applyAlignment="1">
      <alignment vertical="center"/>
    </xf>
    <xf numFmtId="3" fontId="61" fillId="17" borderId="39" xfId="0" applyNumberFormat="1" applyFont="1" applyFill="1" applyBorder="1" applyAlignment="1">
      <alignment vertical="center"/>
    </xf>
    <xf numFmtId="3" fontId="1" fillId="18" borderId="5" xfId="0" applyNumberFormat="1" applyFont="1" applyFill="1" applyBorder="1" applyAlignment="1">
      <alignment vertical="center"/>
    </xf>
    <xf numFmtId="3" fontId="1" fillId="18" borderId="2" xfId="0" applyNumberFormat="1" applyFont="1" applyFill="1" applyBorder="1" applyAlignment="1">
      <alignment vertical="center"/>
    </xf>
    <xf numFmtId="3" fontId="1" fillId="18" borderId="3" xfId="0" applyNumberFormat="1" applyFont="1" applyFill="1" applyBorder="1" applyAlignment="1">
      <alignment vertical="center"/>
    </xf>
    <xf numFmtId="3" fontId="14" fillId="18" borderId="6" xfId="0" applyNumberFormat="1" applyFont="1" applyFill="1" applyBorder="1" applyAlignment="1">
      <alignment vertical="center"/>
    </xf>
    <xf numFmtId="3" fontId="62" fillId="18" borderId="6" xfId="0" applyNumberFormat="1" applyFont="1" applyFill="1" applyBorder="1" applyAlignment="1">
      <alignment vertical="center"/>
    </xf>
    <xf numFmtId="3" fontId="63" fillId="18" borderId="2" xfId="0" applyNumberFormat="1" applyFont="1" applyFill="1" applyBorder="1" applyAlignment="1">
      <alignment vertical="center"/>
    </xf>
    <xf numFmtId="3" fontId="63" fillId="18" borderId="3" xfId="0" applyNumberFormat="1" applyFont="1" applyFill="1" applyBorder="1" applyAlignment="1">
      <alignment vertical="center"/>
    </xf>
    <xf numFmtId="3" fontId="61" fillId="18" borderId="6" xfId="0" applyNumberFormat="1" applyFont="1" applyFill="1" applyBorder="1" applyAlignment="1">
      <alignment vertical="center"/>
    </xf>
    <xf numFmtId="3" fontId="1" fillId="18" borderId="1" xfId="0" applyNumberFormat="1" applyFont="1" applyFill="1" applyBorder="1" applyAlignment="1">
      <alignment vertical="center"/>
    </xf>
    <xf numFmtId="3" fontId="16" fillId="18" borderId="3" xfId="0" applyNumberFormat="1" applyFont="1" applyFill="1" applyBorder="1" applyAlignment="1">
      <alignment vertical="center"/>
    </xf>
    <xf numFmtId="3" fontId="16" fillId="18" borderId="2" xfId="0" applyNumberFormat="1" applyFont="1" applyFill="1" applyBorder="1" applyAlignment="1">
      <alignment vertical="center"/>
    </xf>
    <xf numFmtId="3" fontId="16" fillId="18" borderId="1" xfId="0" applyNumberFormat="1" applyFont="1" applyFill="1" applyBorder="1" applyAlignment="1">
      <alignment vertical="center"/>
    </xf>
    <xf numFmtId="3" fontId="64" fillId="18" borderId="6" xfId="0" applyNumberFormat="1" applyFont="1" applyFill="1" applyBorder="1" applyAlignment="1">
      <alignment vertical="center"/>
    </xf>
    <xf numFmtId="3" fontId="17" fillId="18" borderId="44" xfId="0" applyNumberFormat="1" applyFont="1" applyFill="1" applyBorder="1" applyAlignment="1">
      <alignment vertical="center"/>
    </xf>
    <xf numFmtId="3" fontId="17" fillId="18" borderId="1" xfId="0" applyNumberFormat="1" applyFont="1" applyFill="1" applyBorder="1" applyAlignment="1">
      <alignment vertical="center"/>
    </xf>
    <xf numFmtId="3" fontId="61" fillId="18" borderId="2" xfId="0" applyNumberFormat="1" applyFont="1" applyFill="1" applyBorder="1" applyAlignment="1">
      <alignment vertical="center"/>
    </xf>
    <xf numFmtId="3" fontId="17" fillId="18" borderId="2" xfId="0" applyNumberFormat="1" applyFont="1" applyFill="1" applyBorder="1" applyAlignment="1">
      <alignment vertical="center"/>
    </xf>
    <xf numFmtId="3" fontId="64" fillId="18" borderId="4" xfId="0" applyNumberFormat="1" applyFont="1" applyFill="1" applyBorder="1" applyAlignment="1">
      <alignment vertical="center"/>
    </xf>
    <xf numFmtId="3" fontId="17" fillId="18" borderId="5" xfId="0" applyNumberFormat="1" applyFont="1" applyFill="1" applyBorder="1" applyAlignment="1">
      <alignment vertical="center"/>
    </xf>
    <xf numFmtId="3" fontId="14" fillId="18" borderId="2" xfId="0" applyNumberFormat="1" applyFont="1" applyFill="1" applyBorder="1" applyAlignment="1">
      <alignment vertical="center"/>
    </xf>
    <xf numFmtId="3" fontId="14" fillId="18" borderId="3" xfId="0" applyNumberFormat="1" applyFont="1" applyFill="1" applyBorder="1" applyAlignment="1">
      <alignment vertical="center"/>
    </xf>
    <xf numFmtId="3" fontId="14" fillId="18" borderId="1" xfId="0" applyNumberFormat="1" applyFont="1" applyFill="1" applyBorder="1" applyAlignment="1">
      <alignment vertical="center"/>
    </xf>
    <xf numFmtId="3" fontId="66" fillId="18" borderId="1" xfId="0" applyNumberFormat="1" applyFont="1" applyFill="1" applyBorder="1" applyAlignment="1">
      <alignment vertical="center"/>
    </xf>
    <xf numFmtId="3" fontId="66" fillId="18" borderId="2" xfId="0" applyNumberFormat="1" applyFont="1" applyFill="1" applyBorder="1" applyAlignment="1">
      <alignment vertical="center"/>
    </xf>
    <xf numFmtId="3" fontId="61" fillId="18" borderId="3" xfId="0" applyNumberFormat="1" applyFont="1" applyFill="1" applyBorder="1" applyAlignment="1">
      <alignment vertical="center"/>
    </xf>
    <xf numFmtId="3" fontId="14" fillId="18" borderId="44" xfId="0" applyNumberFormat="1" applyFont="1" applyFill="1" applyBorder="1" applyAlignment="1">
      <alignment vertical="center"/>
    </xf>
    <xf numFmtId="3" fontId="1" fillId="19" borderId="5" xfId="0" applyNumberFormat="1" applyFont="1" applyFill="1" applyBorder="1" applyAlignment="1">
      <alignment vertical="center"/>
    </xf>
    <xf numFmtId="3" fontId="1" fillId="19" borderId="2" xfId="0" applyNumberFormat="1" applyFont="1" applyFill="1" applyBorder="1" applyAlignment="1">
      <alignment vertical="center"/>
    </xf>
    <xf numFmtId="3" fontId="1" fillId="19" borderId="3" xfId="0" applyNumberFormat="1" applyFont="1" applyFill="1" applyBorder="1" applyAlignment="1">
      <alignment vertical="center"/>
    </xf>
    <xf numFmtId="3" fontId="14" fillId="19" borderId="6" xfId="0" applyNumberFormat="1" applyFont="1" applyFill="1" applyBorder="1" applyAlignment="1">
      <alignment vertical="center"/>
    </xf>
    <xf numFmtId="3" fontId="62" fillId="19" borderId="6" xfId="0" applyNumberFormat="1" applyFont="1" applyFill="1" applyBorder="1" applyAlignment="1">
      <alignment vertical="center"/>
    </xf>
    <xf numFmtId="3" fontId="63" fillId="19" borderId="2" xfId="0" applyNumberFormat="1" applyFont="1" applyFill="1" applyBorder="1" applyAlignment="1">
      <alignment vertical="center"/>
    </xf>
    <xf numFmtId="3" fontId="63" fillId="19" borderId="3" xfId="0" applyNumberFormat="1" applyFont="1" applyFill="1" applyBorder="1" applyAlignment="1">
      <alignment vertical="center"/>
    </xf>
    <xf numFmtId="3" fontId="61" fillId="19" borderId="6" xfId="0" applyNumberFormat="1" applyFont="1" applyFill="1" applyBorder="1" applyAlignment="1">
      <alignment vertical="center"/>
    </xf>
    <xf numFmtId="3" fontId="1" fillId="19" borderId="1" xfId="0" applyNumberFormat="1" applyFont="1" applyFill="1" applyBorder="1" applyAlignment="1">
      <alignment vertical="center"/>
    </xf>
    <xf numFmtId="3" fontId="16" fillId="19" borderId="3" xfId="0" applyNumberFormat="1" applyFont="1" applyFill="1" applyBorder="1" applyAlignment="1">
      <alignment vertical="center"/>
    </xf>
    <xf numFmtId="3" fontId="16" fillId="19" borderId="2" xfId="0" applyNumberFormat="1" applyFont="1" applyFill="1" applyBorder="1" applyAlignment="1">
      <alignment vertical="center"/>
    </xf>
    <xf numFmtId="3" fontId="16" fillId="19" borderId="1" xfId="0" applyNumberFormat="1" applyFont="1" applyFill="1" applyBorder="1" applyAlignment="1">
      <alignment vertical="center"/>
    </xf>
    <xf numFmtId="3" fontId="64" fillId="19" borderId="6" xfId="0" applyNumberFormat="1" applyFont="1" applyFill="1" applyBorder="1" applyAlignment="1">
      <alignment vertical="center"/>
    </xf>
    <xf numFmtId="3" fontId="17" fillId="19" borderId="44" xfId="0" applyNumberFormat="1" applyFont="1" applyFill="1" applyBorder="1" applyAlignment="1">
      <alignment vertical="center"/>
    </xf>
    <xf numFmtId="3" fontId="17" fillId="19" borderId="1" xfId="0" applyNumberFormat="1" applyFont="1" applyFill="1" applyBorder="1" applyAlignment="1">
      <alignment vertical="center"/>
    </xf>
    <xf numFmtId="3" fontId="61" fillId="19" borderId="2" xfId="0" applyNumberFormat="1" applyFont="1" applyFill="1" applyBorder="1" applyAlignment="1">
      <alignment vertical="center"/>
    </xf>
    <xf numFmtId="3" fontId="17" fillId="19" borderId="2" xfId="0" applyNumberFormat="1" applyFont="1" applyFill="1" applyBorder="1" applyAlignment="1">
      <alignment vertical="center"/>
    </xf>
    <xf numFmtId="3" fontId="64" fillId="19" borderId="4" xfId="0" applyNumberFormat="1" applyFont="1" applyFill="1" applyBorder="1" applyAlignment="1">
      <alignment vertical="center"/>
    </xf>
    <xf numFmtId="3" fontId="17" fillId="19" borderId="5" xfId="0" applyNumberFormat="1" applyFont="1" applyFill="1" applyBorder="1" applyAlignment="1">
      <alignment vertical="center"/>
    </xf>
    <xf numFmtId="3" fontId="14" fillId="19" borderId="2" xfId="0" applyNumberFormat="1" applyFont="1" applyFill="1" applyBorder="1" applyAlignment="1">
      <alignment vertical="center"/>
    </xf>
    <xf numFmtId="3" fontId="14" fillId="19" borderId="3" xfId="0" applyNumberFormat="1" applyFont="1" applyFill="1" applyBorder="1" applyAlignment="1">
      <alignment vertical="center"/>
    </xf>
    <xf numFmtId="3" fontId="14" fillId="19" borderId="1" xfId="0" applyNumberFormat="1" applyFont="1" applyFill="1" applyBorder="1" applyAlignment="1">
      <alignment vertical="center"/>
    </xf>
    <xf numFmtId="3" fontId="66" fillId="19" borderId="1" xfId="0" applyNumberFormat="1" applyFont="1" applyFill="1" applyBorder="1" applyAlignment="1">
      <alignment vertical="center"/>
    </xf>
    <xf numFmtId="3" fontId="66" fillId="19" borderId="2" xfId="0" applyNumberFormat="1" applyFont="1" applyFill="1" applyBorder="1" applyAlignment="1">
      <alignment vertical="center"/>
    </xf>
    <xf numFmtId="3" fontId="61" fillId="19" borderId="3" xfId="0" applyNumberFormat="1" applyFont="1" applyFill="1" applyBorder="1" applyAlignment="1">
      <alignment vertical="center"/>
    </xf>
    <xf numFmtId="3" fontId="14" fillId="19" borderId="44" xfId="0" applyNumberFormat="1" applyFont="1" applyFill="1" applyBorder="1" applyAlignment="1">
      <alignment vertical="center"/>
    </xf>
    <xf numFmtId="3" fontId="1" fillId="20" borderId="5" xfId="0" applyNumberFormat="1" applyFont="1" applyFill="1" applyBorder="1" applyAlignment="1">
      <alignment vertical="center"/>
    </xf>
    <xf numFmtId="3" fontId="1" fillId="20" borderId="2" xfId="0" applyNumberFormat="1" applyFont="1" applyFill="1" applyBorder="1" applyAlignment="1">
      <alignment vertical="center"/>
    </xf>
    <xf numFmtId="3" fontId="1" fillId="20" borderId="3" xfId="0" applyNumberFormat="1" applyFont="1" applyFill="1" applyBorder="1" applyAlignment="1">
      <alignment vertical="center"/>
    </xf>
    <xf numFmtId="3" fontId="14" fillId="20" borderId="6" xfId="0" applyNumberFormat="1" applyFont="1" applyFill="1" applyBorder="1" applyAlignment="1">
      <alignment vertical="center"/>
    </xf>
    <xf numFmtId="3" fontId="62" fillId="20" borderId="6" xfId="0" applyNumberFormat="1" applyFont="1" applyFill="1" applyBorder="1" applyAlignment="1">
      <alignment vertical="center"/>
    </xf>
    <xf numFmtId="3" fontId="63" fillId="20" borderId="2" xfId="0" applyNumberFormat="1" applyFont="1" applyFill="1" applyBorder="1" applyAlignment="1">
      <alignment vertical="center"/>
    </xf>
    <xf numFmtId="3" fontId="63" fillId="20" borderId="3" xfId="0" applyNumberFormat="1" applyFont="1" applyFill="1" applyBorder="1" applyAlignment="1">
      <alignment vertical="center"/>
    </xf>
    <xf numFmtId="3" fontId="61" fillId="20" borderId="6" xfId="0" applyNumberFormat="1" applyFont="1" applyFill="1" applyBorder="1" applyAlignment="1">
      <alignment vertical="center"/>
    </xf>
    <xf numFmtId="3" fontId="1" fillId="20" borderId="1" xfId="0" applyNumberFormat="1" applyFont="1" applyFill="1" applyBorder="1" applyAlignment="1">
      <alignment vertical="center"/>
    </xf>
    <xf numFmtId="3" fontId="16" fillId="20" borderId="3" xfId="0" applyNumberFormat="1" applyFont="1" applyFill="1" applyBorder="1" applyAlignment="1">
      <alignment vertical="center"/>
    </xf>
    <xf numFmtId="3" fontId="16" fillId="20" borderId="2" xfId="0" applyNumberFormat="1" applyFont="1" applyFill="1" applyBorder="1" applyAlignment="1">
      <alignment vertical="center"/>
    </xf>
    <xf numFmtId="3" fontId="16" fillId="20" borderId="1" xfId="0" applyNumberFormat="1" applyFont="1" applyFill="1" applyBorder="1" applyAlignment="1">
      <alignment vertical="center"/>
    </xf>
    <xf numFmtId="3" fontId="64" fillId="20" borderId="6" xfId="0" applyNumberFormat="1" applyFont="1" applyFill="1" applyBorder="1" applyAlignment="1">
      <alignment vertical="center"/>
    </xf>
    <xf numFmtId="3" fontId="17" fillId="20" borderId="44" xfId="0" applyNumberFormat="1" applyFont="1" applyFill="1" applyBorder="1" applyAlignment="1">
      <alignment vertical="center"/>
    </xf>
    <xf numFmtId="3" fontId="17" fillId="20" borderId="1" xfId="0" applyNumberFormat="1" applyFont="1" applyFill="1" applyBorder="1" applyAlignment="1">
      <alignment vertical="center"/>
    </xf>
    <xf numFmtId="3" fontId="61" fillId="20" borderId="2" xfId="0" applyNumberFormat="1" applyFont="1" applyFill="1" applyBorder="1" applyAlignment="1">
      <alignment vertical="center"/>
    </xf>
    <xf numFmtId="3" fontId="17" fillId="20" borderId="2" xfId="0" applyNumberFormat="1" applyFont="1" applyFill="1" applyBorder="1" applyAlignment="1">
      <alignment vertical="center"/>
    </xf>
    <xf numFmtId="3" fontId="64" fillId="20" borderId="4" xfId="0" applyNumberFormat="1" applyFont="1" applyFill="1" applyBorder="1" applyAlignment="1">
      <alignment vertical="center"/>
    </xf>
    <xf numFmtId="3" fontId="17" fillId="20" borderId="5" xfId="0" applyNumberFormat="1" applyFont="1" applyFill="1" applyBorder="1" applyAlignment="1">
      <alignment vertical="center"/>
    </xf>
    <xf numFmtId="3" fontId="14" fillId="20" borderId="2" xfId="0" applyNumberFormat="1" applyFont="1" applyFill="1" applyBorder="1" applyAlignment="1">
      <alignment vertical="center"/>
    </xf>
    <xf numFmtId="3" fontId="14" fillId="20" borderId="3" xfId="0" applyNumberFormat="1" applyFont="1" applyFill="1" applyBorder="1" applyAlignment="1">
      <alignment vertical="center"/>
    </xf>
    <xf numFmtId="3" fontId="14" fillId="20" borderId="1" xfId="0" applyNumberFormat="1" applyFont="1" applyFill="1" applyBorder="1" applyAlignment="1">
      <alignment vertical="center"/>
    </xf>
    <xf numFmtId="3" fontId="66" fillId="20" borderId="1" xfId="0" applyNumberFormat="1" applyFont="1" applyFill="1" applyBorder="1" applyAlignment="1">
      <alignment vertical="center"/>
    </xf>
    <xf numFmtId="3" fontId="66" fillId="20" borderId="2" xfId="0" applyNumberFormat="1" applyFont="1" applyFill="1" applyBorder="1" applyAlignment="1">
      <alignment vertical="center"/>
    </xf>
    <xf numFmtId="3" fontId="61" fillId="20" borderId="3" xfId="0" applyNumberFormat="1" applyFont="1" applyFill="1" applyBorder="1" applyAlignment="1">
      <alignment vertical="center"/>
    </xf>
    <xf numFmtId="3" fontId="14" fillId="20" borderId="44" xfId="0" applyNumberFormat="1" applyFont="1" applyFill="1" applyBorder="1" applyAlignment="1">
      <alignment vertical="center"/>
    </xf>
    <xf numFmtId="3" fontId="1" fillId="21" borderId="5" xfId="0" applyNumberFormat="1" applyFont="1" applyFill="1" applyBorder="1" applyAlignment="1">
      <alignment vertical="center"/>
    </xf>
    <xf numFmtId="3" fontId="1" fillId="21" borderId="2" xfId="0" applyNumberFormat="1" applyFont="1" applyFill="1" applyBorder="1" applyAlignment="1">
      <alignment vertical="center"/>
    </xf>
    <xf numFmtId="3" fontId="1" fillId="21" borderId="3" xfId="0" applyNumberFormat="1" applyFont="1" applyFill="1" applyBorder="1" applyAlignment="1">
      <alignment vertical="center"/>
    </xf>
    <xf numFmtId="3" fontId="14" fillId="21" borderId="6" xfId="0" applyNumberFormat="1" applyFont="1" applyFill="1" applyBorder="1" applyAlignment="1">
      <alignment vertical="center"/>
    </xf>
    <xf numFmtId="3" fontId="62" fillId="21" borderId="6" xfId="0" applyNumberFormat="1" applyFont="1" applyFill="1" applyBorder="1" applyAlignment="1">
      <alignment vertical="center"/>
    </xf>
    <xf numFmtId="3" fontId="63" fillId="21" borderId="2" xfId="0" applyNumberFormat="1" applyFont="1" applyFill="1" applyBorder="1" applyAlignment="1">
      <alignment vertical="center"/>
    </xf>
    <xf numFmtId="3" fontId="63" fillId="21" borderId="3" xfId="0" applyNumberFormat="1" applyFont="1" applyFill="1" applyBorder="1" applyAlignment="1">
      <alignment vertical="center"/>
    </xf>
    <xf numFmtId="3" fontId="61" fillId="21" borderId="6" xfId="0" applyNumberFormat="1" applyFont="1" applyFill="1" applyBorder="1" applyAlignment="1">
      <alignment vertical="center"/>
    </xf>
    <xf numFmtId="3" fontId="1" fillId="21" borderId="1" xfId="0" applyNumberFormat="1" applyFont="1" applyFill="1" applyBorder="1" applyAlignment="1">
      <alignment vertical="center"/>
    </xf>
    <xf numFmtId="3" fontId="16" fillId="21" borderId="3" xfId="0" applyNumberFormat="1" applyFont="1" applyFill="1" applyBorder="1" applyAlignment="1">
      <alignment vertical="center"/>
    </xf>
    <xf numFmtId="3" fontId="16" fillId="21" borderId="2" xfId="0" applyNumberFormat="1" applyFont="1" applyFill="1" applyBorder="1" applyAlignment="1">
      <alignment vertical="center"/>
    </xf>
    <xf numFmtId="3" fontId="16" fillId="21" borderId="1" xfId="0" applyNumberFormat="1" applyFont="1" applyFill="1" applyBorder="1" applyAlignment="1">
      <alignment vertical="center"/>
    </xf>
    <xf numFmtId="3" fontId="64" fillId="21" borderId="6" xfId="0" applyNumberFormat="1" applyFont="1" applyFill="1" applyBorder="1" applyAlignment="1">
      <alignment vertical="center"/>
    </xf>
    <xf numFmtId="3" fontId="17" fillId="21" borderId="44" xfId="0" applyNumberFormat="1" applyFont="1" applyFill="1" applyBorder="1" applyAlignment="1">
      <alignment vertical="center"/>
    </xf>
    <xf numFmtId="3" fontId="17" fillId="21" borderId="1" xfId="0" applyNumberFormat="1" applyFont="1" applyFill="1" applyBorder="1" applyAlignment="1">
      <alignment vertical="center"/>
    </xf>
    <xf numFmtId="3" fontId="61" fillId="21" borderId="2" xfId="0" applyNumberFormat="1" applyFont="1" applyFill="1" applyBorder="1" applyAlignment="1">
      <alignment vertical="center"/>
    </xf>
    <xf numFmtId="3" fontId="17" fillId="21" borderId="2" xfId="0" applyNumberFormat="1" applyFont="1" applyFill="1" applyBorder="1" applyAlignment="1">
      <alignment vertical="center"/>
    </xf>
    <xf numFmtId="3" fontId="64" fillId="21" borderId="4" xfId="0" applyNumberFormat="1" applyFont="1" applyFill="1" applyBorder="1" applyAlignment="1">
      <alignment vertical="center"/>
    </xf>
    <xf numFmtId="3" fontId="17" fillId="21" borderId="5" xfId="0" applyNumberFormat="1" applyFont="1" applyFill="1" applyBorder="1" applyAlignment="1">
      <alignment vertical="center"/>
    </xf>
    <xf numFmtId="3" fontId="14" fillId="21" borderId="2" xfId="0" applyNumberFormat="1" applyFont="1" applyFill="1" applyBorder="1" applyAlignment="1">
      <alignment vertical="center"/>
    </xf>
    <xf numFmtId="3" fontId="14" fillId="21" borderId="3" xfId="0" applyNumberFormat="1" applyFont="1" applyFill="1" applyBorder="1" applyAlignment="1">
      <alignment vertical="center"/>
    </xf>
    <xf numFmtId="3" fontId="14" fillId="21" borderId="1" xfId="0" applyNumberFormat="1" applyFont="1" applyFill="1" applyBorder="1" applyAlignment="1">
      <alignment vertical="center"/>
    </xf>
    <xf numFmtId="3" fontId="66" fillId="21" borderId="1" xfId="0" applyNumberFormat="1" applyFont="1" applyFill="1" applyBorder="1" applyAlignment="1">
      <alignment vertical="center"/>
    </xf>
    <xf numFmtId="3" fontId="66" fillId="21" borderId="2" xfId="0" applyNumberFormat="1" applyFont="1" applyFill="1" applyBorder="1" applyAlignment="1">
      <alignment vertical="center"/>
    </xf>
    <xf numFmtId="3" fontId="61" fillId="21" borderId="3" xfId="0" applyNumberFormat="1" applyFont="1" applyFill="1" applyBorder="1" applyAlignment="1">
      <alignment vertical="center"/>
    </xf>
    <xf numFmtId="3" fontId="14" fillId="21" borderId="44" xfId="0" applyNumberFormat="1" applyFont="1" applyFill="1" applyBorder="1" applyAlignment="1">
      <alignment vertical="center"/>
    </xf>
    <xf numFmtId="3" fontId="1" fillId="22" borderId="5" xfId="0" applyNumberFormat="1" applyFont="1" applyFill="1" applyBorder="1" applyAlignment="1">
      <alignment vertical="center"/>
    </xf>
    <xf numFmtId="3" fontId="1" fillId="22" borderId="2" xfId="0" applyNumberFormat="1" applyFont="1" applyFill="1" applyBorder="1" applyAlignment="1">
      <alignment vertical="center"/>
    </xf>
    <xf numFmtId="3" fontId="1" fillId="22" borderId="3" xfId="0" applyNumberFormat="1" applyFont="1" applyFill="1" applyBorder="1" applyAlignment="1">
      <alignment vertical="center"/>
    </xf>
    <xf numFmtId="3" fontId="14" fillId="22" borderId="6" xfId="0" applyNumberFormat="1" applyFont="1" applyFill="1" applyBorder="1" applyAlignment="1">
      <alignment vertical="center"/>
    </xf>
    <xf numFmtId="3" fontId="62" fillId="22" borderId="6" xfId="0" applyNumberFormat="1" applyFont="1" applyFill="1" applyBorder="1" applyAlignment="1">
      <alignment vertical="center"/>
    </xf>
    <xf numFmtId="3" fontId="63" fillId="22" borderId="2" xfId="0" applyNumberFormat="1" applyFont="1" applyFill="1" applyBorder="1" applyAlignment="1">
      <alignment vertical="center"/>
    </xf>
    <xf numFmtId="3" fontId="63" fillId="22" borderId="3" xfId="0" applyNumberFormat="1" applyFont="1" applyFill="1" applyBorder="1" applyAlignment="1">
      <alignment vertical="center"/>
    </xf>
    <xf numFmtId="3" fontId="61" fillId="22" borderId="6" xfId="0" applyNumberFormat="1" applyFont="1" applyFill="1" applyBorder="1" applyAlignment="1">
      <alignment vertical="center"/>
    </xf>
    <xf numFmtId="3" fontId="1" fillId="22" borderId="1" xfId="0" applyNumberFormat="1" applyFont="1" applyFill="1" applyBorder="1" applyAlignment="1">
      <alignment vertical="center"/>
    </xf>
    <xf numFmtId="3" fontId="16" fillId="22" borderId="3" xfId="0" applyNumberFormat="1" applyFont="1" applyFill="1" applyBorder="1" applyAlignment="1">
      <alignment vertical="center"/>
    </xf>
    <xf numFmtId="3" fontId="16" fillId="22" borderId="2" xfId="0" applyNumberFormat="1" applyFont="1" applyFill="1" applyBorder="1" applyAlignment="1">
      <alignment vertical="center"/>
    </xf>
    <xf numFmtId="3" fontId="16" fillId="22" borderId="1" xfId="0" applyNumberFormat="1" applyFont="1" applyFill="1" applyBorder="1" applyAlignment="1">
      <alignment vertical="center"/>
    </xf>
    <xf numFmtId="3" fontId="64" fillId="22" borderId="6" xfId="0" applyNumberFormat="1" applyFont="1" applyFill="1" applyBorder="1" applyAlignment="1">
      <alignment vertical="center"/>
    </xf>
    <xf numFmtId="3" fontId="17" fillId="22" borderId="44" xfId="0" applyNumberFormat="1" applyFont="1" applyFill="1" applyBorder="1" applyAlignment="1">
      <alignment vertical="center"/>
    </xf>
    <xf numFmtId="3" fontId="17" fillId="22" borderId="1" xfId="0" applyNumberFormat="1" applyFont="1" applyFill="1" applyBorder="1" applyAlignment="1">
      <alignment vertical="center"/>
    </xf>
    <xf numFmtId="3" fontId="61" fillId="22" borderId="2" xfId="0" applyNumberFormat="1" applyFont="1" applyFill="1" applyBorder="1" applyAlignment="1">
      <alignment vertical="center"/>
    </xf>
    <xf numFmtId="3" fontId="17" fillId="22" borderId="2" xfId="0" applyNumberFormat="1" applyFont="1" applyFill="1" applyBorder="1" applyAlignment="1">
      <alignment vertical="center"/>
    </xf>
    <xf numFmtId="3" fontId="64" fillId="22" borderId="4" xfId="0" applyNumberFormat="1" applyFont="1" applyFill="1" applyBorder="1" applyAlignment="1">
      <alignment vertical="center"/>
    </xf>
    <xf numFmtId="3" fontId="17" fillId="22" borderId="5" xfId="0" applyNumberFormat="1" applyFont="1" applyFill="1" applyBorder="1" applyAlignment="1">
      <alignment vertical="center"/>
    </xf>
    <xf numFmtId="3" fontId="14" fillId="22" borderId="2" xfId="0" applyNumberFormat="1" applyFont="1" applyFill="1" applyBorder="1" applyAlignment="1">
      <alignment vertical="center"/>
    </xf>
    <xf numFmtId="3" fontId="14" fillId="22" borderId="3" xfId="0" applyNumberFormat="1" applyFont="1" applyFill="1" applyBorder="1" applyAlignment="1">
      <alignment vertical="center"/>
    </xf>
    <xf numFmtId="3" fontId="14" fillId="22" borderId="1" xfId="0" applyNumberFormat="1" applyFont="1" applyFill="1" applyBorder="1" applyAlignment="1">
      <alignment vertical="center"/>
    </xf>
    <xf numFmtId="3" fontId="66" fillId="22" borderId="1" xfId="0" applyNumberFormat="1" applyFont="1" applyFill="1" applyBorder="1" applyAlignment="1">
      <alignment vertical="center"/>
    </xf>
    <xf numFmtId="3" fontId="66" fillId="22" borderId="2" xfId="0" applyNumberFormat="1" applyFont="1" applyFill="1" applyBorder="1" applyAlignment="1">
      <alignment vertical="center"/>
    </xf>
    <xf numFmtId="3" fontId="61" fillId="22" borderId="3" xfId="0" applyNumberFormat="1" applyFont="1" applyFill="1" applyBorder="1" applyAlignment="1">
      <alignment vertical="center"/>
    </xf>
    <xf numFmtId="3" fontId="14" fillId="22" borderId="44" xfId="0" applyNumberFormat="1" applyFont="1" applyFill="1" applyBorder="1" applyAlignment="1">
      <alignment vertical="center"/>
    </xf>
    <xf numFmtId="3" fontId="1" fillId="23" borderId="5" xfId="0" applyNumberFormat="1" applyFont="1" applyFill="1" applyBorder="1" applyAlignment="1">
      <alignment vertical="center"/>
    </xf>
    <xf numFmtId="3" fontId="1" fillId="23" borderId="2" xfId="0" applyNumberFormat="1" applyFont="1" applyFill="1" applyBorder="1" applyAlignment="1">
      <alignment vertical="center"/>
    </xf>
    <xf numFmtId="3" fontId="1" fillId="23" borderId="3" xfId="0" applyNumberFormat="1" applyFont="1" applyFill="1" applyBorder="1" applyAlignment="1">
      <alignment vertical="center"/>
    </xf>
    <xf numFmtId="3" fontId="14" fillId="23" borderId="6" xfId="0" applyNumberFormat="1" applyFont="1" applyFill="1" applyBorder="1" applyAlignment="1">
      <alignment vertical="center"/>
    </xf>
    <xf numFmtId="3" fontId="62" fillId="23" borderId="6" xfId="0" applyNumberFormat="1" applyFont="1" applyFill="1" applyBorder="1" applyAlignment="1">
      <alignment vertical="center"/>
    </xf>
    <xf numFmtId="3" fontId="63" fillId="23" borderId="2" xfId="0" applyNumberFormat="1" applyFont="1" applyFill="1" applyBorder="1" applyAlignment="1">
      <alignment vertical="center"/>
    </xf>
    <xf numFmtId="3" fontId="63" fillId="23" borderId="3" xfId="0" applyNumberFormat="1" applyFont="1" applyFill="1" applyBorder="1" applyAlignment="1">
      <alignment vertical="center"/>
    </xf>
    <xf numFmtId="3" fontId="61" fillId="23" borderId="6" xfId="0" applyNumberFormat="1" applyFont="1" applyFill="1" applyBorder="1" applyAlignment="1">
      <alignment vertical="center"/>
    </xf>
    <xf numFmtId="3" fontId="1" fillId="23" borderId="1" xfId="0" applyNumberFormat="1" applyFont="1" applyFill="1" applyBorder="1" applyAlignment="1">
      <alignment vertical="center"/>
    </xf>
    <xf numFmtId="3" fontId="16" fillId="23" borderId="3" xfId="0" applyNumberFormat="1" applyFont="1" applyFill="1" applyBorder="1" applyAlignment="1">
      <alignment vertical="center"/>
    </xf>
    <xf numFmtId="3" fontId="16" fillId="23" borderId="2" xfId="0" applyNumberFormat="1" applyFont="1" applyFill="1" applyBorder="1" applyAlignment="1">
      <alignment vertical="center"/>
    </xf>
    <xf numFmtId="3" fontId="16" fillId="23" borderId="1" xfId="0" applyNumberFormat="1" applyFont="1" applyFill="1" applyBorder="1" applyAlignment="1">
      <alignment vertical="center"/>
    </xf>
    <xf numFmtId="3" fontId="64" fillId="23" borderId="6" xfId="0" applyNumberFormat="1" applyFont="1" applyFill="1" applyBorder="1" applyAlignment="1">
      <alignment vertical="center"/>
    </xf>
    <xf numFmtId="3" fontId="17" fillId="23" borderId="44" xfId="0" applyNumberFormat="1" applyFont="1" applyFill="1" applyBorder="1" applyAlignment="1">
      <alignment vertical="center"/>
    </xf>
    <xf numFmtId="3" fontId="17" fillId="23" borderId="1" xfId="0" applyNumberFormat="1" applyFont="1" applyFill="1" applyBorder="1" applyAlignment="1">
      <alignment vertical="center"/>
    </xf>
    <xf numFmtId="3" fontId="61" fillId="23" borderId="2" xfId="0" applyNumberFormat="1" applyFont="1" applyFill="1" applyBorder="1" applyAlignment="1">
      <alignment vertical="center"/>
    </xf>
    <xf numFmtId="3" fontId="17" fillId="23" borderId="2" xfId="0" applyNumberFormat="1" applyFont="1" applyFill="1" applyBorder="1" applyAlignment="1">
      <alignment vertical="center"/>
    </xf>
    <xf numFmtId="3" fontId="64" fillId="23" borderId="4" xfId="0" applyNumberFormat="1" applyFont="1" applyFill="1" applyBorder="1" applyAlignment="1">
      <alignment vertical="center"/>
    </xf>
    <xf numFmtId="3" fontId="17" fillId="23" borderId="5" xfId="0" applyNumberFormat="1" applyFont="1" applyFill="1" applyBorder="1" applyAlignment="1">
      <alignment vertical="center"/>
    </xf>
    <xf numFmtId="3" fontId="14" fillId="23" borderId="2" xfId="0" applyNumberFormat="1" applyFont="1" applyFill="1" applyBorder="1" applyAlignment="1">
      <alignment vertical="center"/>
    </xf>
    <xf numFmtId="3" fontId="14" fillId="23" borderId="3" xfId="0" applyNumberFormat="1" applyFont="1" applyFill="1" applyBorder="1" applyAlignment="1">
      <alignment vertical="center"/>
    </xf>
    <xf numFmtId="3" fontId="14" fillId="23" borderId="1" xfId="0" applyNumberFormat="1" applyFont="1" applyFill="1" applyBorder="1" applyAlignment="1">
      <alignment vertical="center"/>
    </xf>
    <xf numFmtId="3" fontId="66" fillId="23" borderId="1" xfId="0" applyNumberFormat="1" applyFont="1" applyFill="1" applyBorder="1" applyAlignment="1">
      <alignment vertical="center"/>
    </xf>
    <xf numFmtId="3" fontId="66" fillId="23" borderId="2" xfId="0" applyNumberFormat="1" applyFont="1" applyFill="1" applyBorder="1" applyAlignment="1">
      <alignment vertical="center"/>
    </xf>
    <xf numFmtId="3" fontId="61" fillId="23" borderId="3" xfId="0" applyNumberFormat="1" applyFont="1" applyFill="1" applyBorder="1" applyAlignment="1">
      <alignment vertical="center"/>
    </xf>
    <xf numFmtId="3" fontId="14" fillId="23" borderId="44" xfId="0" applyNumberFormat="1" applyFont="1" applyFill="1" applyBorder="1" applyAlignment="1">
      <alignment vertical="center"/>
    </xf>
    <xf numFmtId="3" fontId="70" fillId="5" borderId="5" xfId="0" applyNumberFormat="1" applyFont="1" applyFill="1" applyBorder="1" applyAlignment="1">
      <alignment vertical="center"/>
    </xf>
    <xf numFmtId="0" fontId="21" fillId="6" borderId="18" xfId="6" applyFont="1" applyFill="1" applyBorder="1" applyAlignment="1" applyProtection="1">
      <alignment horizontal="center" vertical="center" wrapText="1"/>
    </xf>
    <xf numFmtId="3" fontId="61" fillId="8" borderId="2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3" fontId="66" fillId="0" borderId="0" xfId="0" applyNumberFormat="1" applyFont="1"/>
    <xf numFmtId="3" fontId="0" fillId="0" borderId="0" xfId="0" applyNumberFormat="1" applyAlignment="1">
      <alignment vertical="center"/>
    </xf>
    <xf numFmtId="3" fontId="14" fillId="6" borderId="0" xfId="0" applyNumberFormat="1" applyFont="1" applyFill="1" applyBorder="1" applyAlignment="1">
      <alignment vertical="center"/>
    </xf>
    <xf numFmtId="3" fontId="66" fillId="0" borderId="0" xfId="0" applyNumberFormat="1" applyFont="1" applyAlignment="1">
      <alignment vertical="center"/>
    </xf>
    <xf numFmtId="3" fontId="0" fillId="7" borderId="30" xfId="0" applyNumberFormat="1" applyFont="1" applyFill="1" applyBorder="1" applyAlignment="1">
      <alignment vertical="center"/>
    </xf>
    <xf numFmtId="3" fontId="71" fillId="0" borderId="0" xfId="0" applyNumberFormat="1" applyFont="1"/>
    <xf numFmtId="0" fontId="10" fillId="6" borderId="14" xfId="6" applyFont="1" applyFill="1" applyBorder="1" applyAlignment="1" applyProtection="1">
      <alignment horizontal="right" vertical="center" wrapText="1" indent="1"/>
    </xf>
    <xf numFmtId="0" fontId="10" fillId="6" borderId="9" xfId="6" applyFont="1" applyFill="1" applyBorder="1" applyAlignment="1" applyProtection="1">
      <alignment horizontal="right" vertical="center" wrapText="1" indent="1"/>
    </xf>
    <xf numFmtId="0" fontId="10" fillId="6" borderId="16" xfId="6" applyFont="1" applyFill="1" applyBorder="1" applyAlignment="1" applyProtection="1">
      <alignment horizontal="right" vertical="center" wrapText="1" indent="1"/>
    </xf>
    <xf numFmtId="0" fontId="10" fillId="6" borderId="12" xfId="6" applyFont="1" applyFill="1" applyBorder="1" applyAlignment="1" applyProtection="1">
      <alignment horizontal="right" vertical="center" wrapText="1" indent="1"/>
    </xf>
    <xf numFmtId="3" fontId="14" fillId="6" borderId="2" xfId="0" applyNumberFormat="1" applyFont="1" applyFill="1" applyBorder="1" applyAlignment="1">
      <alignment vertical="center"/>
    </xf>
    <xf numFmtId="3" fontId="14" fillId="6" borderId="4" xfId="0" applyNumberFormat="1" applyFont="1" applyFill="1" applyBorder="1" applyAlignment="1">
      <alignment vertical="center"/>
    </xf>
    <xf numFmtId="165" fontId="27" fillId="0" borderId="36" xfId="6" applyNumberFormat="1" applyFont="1" applyFill="1" applyBorder="1" applyAlignment="1" applyProtection="1">
      <alignment vertical="center" wrapText="1"/>
      <protection locked="0"/>
    </xf>
    <xf numFmtId="165" fontId="27" fillId="0" borderId="14" xfId="6" applyNumberFormat="1" applyFont="1" applyFill="1" applyBorder="1" applyAlignment="1" applyProtection="1">
      <alignment vertical="center" wrapText="1"/>
      <protection locked="0"/>
    </xf>
    <xf numFmtId="164" fontId="45" fillId="6" borderId="28" xfId="2" applyNumberFormat="1" applyFont="1" applyFill="1" applyBorder="1" applyAlignment="1" applyProtection="1">
      <alignment horizontal="center"/>
      <protection locked="0"/>
    </xf>
    <xf numFmtId="166" fontId="56" fillId="0" borderId="0" xfId="6" applyNumberFormat="1" applyFont="1" applyFill="1" applyAlignment="1" applyProtection="1">
      <protection locked="0"/>
    </xf>
    <xf numFmtId="0" fontId="34" fillId="0" borderId="27" xfId="6" applyFont="1" applyBorder="1" applyAlignment="1" applyProtection="1">
      <alignment horizontal="center" vertical="center"/>
    </xf>
    <xf numFmtId="3" fontId="26" fillId="0" borderId="0" xfId="13" applyNumberFormat="1" applyFill="1" applyProtection="1">
      <protection locked="0"/>
    </xf>
    <xf numFmtId="3" fontId="26" fillId="0" borderId="0" xfId="13" applyNumberFormat="1" applyFill="1" applyProtection="1"/>
    <xf numFmtId="3" fontId="26" fillId="0" borderId="0" xfId="13" applyNumberFormat="1" applyFill="1" applyAlignment="1" applyProtection="1">
      <alignment vertical="center"/>
    </xf>
    <xf numFmtId="3" fontId="26" fillId="0" borderId="0" xfId="13" applyNumberFormat="1" applyFill="1" applyAlignment="1" applyProtection="1">
      <alignment vertical="center"/>
      <protection locked="0"/>
    </xf>
    <xf numFmtId="3" fontId="14" fillId="7" borderId="32" xfId="0" applyNumberFormat="1" applyFont="1" applyFill="1" applyBorder="1" applyAlignment="1">
      <alignment horizontal="center" vertical="center" wrapText="1"/>
    </xf>
    <xf numFmtId="3" fontId="14" fillId="24" borderId="12" xfId="0" applyNumberFormat="1" applyFont="1" applyFill="1" applyBorder="1" applyAlignment="1">
      <alignment horizontal="center" vertical="center" wrapText="1"/>
    </xf>
    <xf numFmtId="3" fontId="14" fillId="8" borderId="32" xfId="0" applyNumberFormat="1" applyFont="1" applyFill="1" applyBorder="1" applyAlignment="1">
      <alignment horizontal="center" vertical="center" wrapText="1"/>
    </xf>
    <xf numFmtId="3" fontId="0" fillId="7" borderId="24" xfId="0" applyNumberFormat="1" applyFill="1" applyBorder="1" applyAlignment="1">
      <alignment vertical="center"/>
    </xf>
    <xf numFmtId="3" fontId="1" fillId="24" borderId="9" xfId="0" applyNumberFormat="1" applyFont="1" applyFill="1" applyBorder="1" applyAlignment="1">
      <alignment vertical="center"/>
    </xf>
    <xf numFmtId="3" fontId="1" fillId="8" borderId="36" xfId="0" applyNumberFormat="1" applyFont="1" applyFill="1" applyBorder="1" applyAlignment="1">
      <alignment vertical="center"/>
    </xf>
    <xf numFmtId="3" fontId="1" fillId="25" borderId="5" xfId="0" applyNumberFormat="1" applyFont="1" applyFill="1" applyBorder="1" applyAlignment="1">
      <alignment vertical="center"/>
    </xf>
    <xf numFmtId="3" fontId="1" fillId="24" borderId="10" xfId="0" applyNumberFormat="1" applyFont="1" applyFill="1" applyBorder="1" applyAlignment="1">
      <alignment vertical="center"/>
    </xf>
    <xf numFmtId="3" fontId="1" fillId="8" borderId="24" xfId="0" applyNumberFormat="1" applyFont="1" applyFill="1" applyBorder="1" applyAlignment="1">
      <alignment vertical="center"/>
    </xf>
    <xf numFmtId="3" fontId="1" fillId="25" borderId="2" xfId="0" applyNumberFormat="1" applyFont="1" applyFill="1" applyBorder="1" applyAlignment="1">
      <alignment vertical="center"/>
    </xf>
    <xf numFmtId="3" fontId="0" fillId="7" borderId="27" xfId="0" applyNumberFormat="1" applyFill="1" applyBorder="1" applyAlignment="1">
      <alignment vertical="center"/>
    </xf>
    <xf numFmtId="3" fontId="1" fillId="8" borderId="27" xfId="0" applyNumberFormat="1" applyFont="1" applyFill="1" applyBorder="1" applyAlignment="1">
      <alignment vertical="center"/>
    </xf>
    <xf numFmtId="3" fontId="0" fillId="7" borderId="29" xfId="0" applyNumberFormat="1" applyFill="1" applyBorder="1" applyAlignment="1">
      <alignment vertical="center"/>
    </xf>
    <xf numFmtId="3" fontId="1" fillId="24" borderId="12" xfId="0" applyNumberFormat="1" applyFont="1" applyFill="1" applyBorder="1" applyAlignment="1">
      <alignment vertical="center"/>
    </xf>
    <xf numFmtId="3" fontId="1" fillId="8" borderId="29" xfId="0" applyNumberFormat="1" applyFont="1" applyFill="1" applyBorder="1" applyAlignment="1">
      <alignment vertical="center"/>
    </xf>
    <xf numFmtId="3" fontId="1" fillId="25" borderId="3" xfId="0" applyNumberFormat="1" applyFont="1" applyFill="1" applyBorder="1" applyAlignment="1">
      <alignment vertical="center"/>
    </xf>
    <xf numFmtId="3" fontId="14" fillId="7" borderId="22" xfId="0" applyNumberFormat="1" applyFont="1" applyFill="1" applyBorder="1" applyAlignment="1">
      <alignment vertical="center"/>
    </xf>
    <xf numFmtId="3" fontId="14" fillId="24" borderId="8" xfId="0" applyNumberFormat="1" applyFont="1" applyFill="1" applyBorder="1" applyAlignment="1">
      <alignment vertical="center"/>
    </xf>
    <xf numFmtId="3" fontId="14" fillId="8" borderId="22" xfId="0" applyNumberFormat="1" applyFont="1" applyFill="1" applyBorder="1" applyAlignment="1">
      <alignment vertical="center"/>
    </xf>
    <xf numFmtId="3" fontId="14" fillId="25" borderId="6" xfId="0" applyNumberFormat="1" applyFont="1" applyFill="1" applyBorder="1" applyAlignment="1">
      <alignment vertical="center"/>
    </xf>
    <xf numFmtId="3" fontId="1" fillId="7" borderId="29" xfId="0" applyNumberFormat="1" applyFont="1" applyFill="1" applyBorder="1" applyAlignment="1">
      <alignment vertical="center"/>
    </xf>
    <xf numFmtId="3" fontId="1" fillId="14" borderId="44" xfId="0" applyNumberFormat="1" applyFont="1" applyFill="1" applyBorder="1" applyAlignment="1">
      <alignment vertical="center"/>
    </xf>
    <xf numFmtId="3" fontId="14" fillId="7" borderId="29" xfId="0" applyNumberFormat="1" applyFont="1" applyFill="1" applyBorder="1" applyAlignment="1">
      <alignment vertical="center"/>
    </xf>
    <xf numFmtId="3" fontId="1" fillId="8" borderId="38" xfId="0" applyNumberFormat="1" applyFont="1" applyFill="1" applyBorder="1" applyAlignment="1">
      <alignment vertical="center"/>
    </xf>
    <xf numFmtId="3" fontId="62" fillId="7" borderId="22" xfId="0" applyNumberFormat="1" applyFont="1" applyFill="1" applyBorder="1" applyAlignment="1">
      <alignment vertical="center"/>
    </xf>
    <xf numFmtId="3" fontId="62" fillId="24" borderId="8" xfId="0" applyNumberFormat="1" applyFont="1" applyFill="1" applyBorder="1" applyAlignment="1">
      <alignment vertical="center"/>
    </xf>
    <xf numFmtId="3" fontId="62" fillId="8" borderId="22" xfId="0" applyNumberFormat="1" applyFont="1" applyFill="1" applyBorder="1" applyAlignment="1">
      <alignment vertical="center"/>
    </xf>
    <xf numFmtId="3" fontId="62" fillId="25" borderId="8" xfId="0" applyNumberFormat="1" applyFont="1" applyFill="1" applyBorder="1" applyAlignment="1">
      <alignment vertical="center"/>
    </xf>
    <xf numFmtId="3" fontId="62" fillId="14" borderId="8" xfId="0" applyNumberFormat="1" applyFont="1" applyFill="1" applyBorder="1" applyAlignment="1">
      <alignment vertical="center"/>
    </xf>
    <xf numFmtId="3" fontId="72" fillId="6" borderId="5" xfId="0" applyNumberFormat="1" applyFont="1" applyFill="1" applyBorder="1" applyAlignment="1">
      <alignment vertical="center"/>
    </xf>
    <xf numFmtId="3" fontId="0" fillId="7" borderId="36" xfId="0" applyNumberFormat="1" applyFill="1" applyBorder="1" applyAlignment="1">
      <alignment vertical="center"/>
    </xf>
    <xf numFmtId="3" fontId="62" fillId="25" borderId="6" xfId="0" applyNumberFormat="1" applyFont="1" applyFill="1" applyBorder="1" applyAlignment="1">
      <alignment vertical="center"/>
    </xf>
    <xf numFmtId="3" fontId="63" fillId="7" borderId="27" xfId="0" applyNumberFormat="1" applyFont="1" applyFill="1" applyBorder="1" applyAlignment="1">
      <alignment vertical="center"/>
    </xf>
    <xf numFmtId="3" fontId="63" fillId="26" borderId="28" xfId="0" applyNumberFormat="1" applyFont="1" applyFill="1" applyBorder="1" applyAlignment="1">
      <alignment vertical="center"/>
    </xf>
    <xf numFmtId="3" fontId="16" fillId="24" borderId="10" xfId="0" applyNumberFormat="1" applyFont="1" applyFill="1" applyBorder="1" applyAlignment="1">
      <alignment vertical="center"/>
    </xf>
    <xf numFmtId="3" fontId="63" fillId="8" borderId="27" xfId="0" applyNumberFormat="1" applyFont="1" applyFill="1" applyBorder="1" applyAlignment="1">
      <alignment vertical="center"/>
    </xf>
    <xf numFmtId="3" fontId="63" fillId="25" borderId="10" xfId="0" applyNumberFormat="1" applyFont="1" applyFill="1" applyBorder="1" applyAlignment="1">
      <alignment vertical="center"/>
    </xf>
    <xf numFmtId="3" fontId="63" fillId="14" borderId="10" xfId="0" applyNumberFormat="1" applyFont="1" applyFill="1" applyBorder="1" applyAlignment="1">
      <alignment vertical="center"/>
    </xf>
    <xf numFmtId="3" fontId="63" fillId="7" borderId="29" xfId="0" applyNumberFormat="1" applyFont="1" applyFill="1" applyBorder="1" applyAlignment="1">
      <alignment vertical="center"/>
    </xf>
    <xf numFmtId="3" fontId="16" fillId="24" borderId="12" xfId="0" applyNumberFormat="1" applyFont="1" applyFill="1" applyBorder="1" applyAlignment="1">
      <alignment vertical="center"/>
    </xf>
    <xf numFmtId="3" fontId="63" fillId="8" borderId="29" xfId="0" applyNumberFormat="1" applyFont="1" applyFill="1" applyBorder="1" applyAlignment="1">
      <alignment vertical="center"/>
    </xf>
    <xf numFmtId="3" fontId="63" fillId="25" borderId="3" xfId="0" applyNumberFormat="1" applyFont="1" applyFill="1" applyBorder="1" applyAlignment="1">
      <alignment vertical="center"/>
    </xf>
    <xf numFmtId="3" fontId="61" fillId="7" borderId="22" xfId="0" applyNumberFormat="1" applyFont="1" applyFill="1" applyBorder="1" applyAlignment="1">
      <alignment vertical="center"/>
    </xf>
    <xf numFmtId="3" fontId="61" fillId="26" borderId="7" xfId="0" applyNumberFormat="1" applyFont="1" applyFill="1" applyBorder="1" applyAlignment="1">
      <alignment vertical="center"/>
    </xf>
    <xf numFmtId="3" fontId="61" fillId="24" borderId="8" xfId="0" applyNumberFormat="1" applyFont="1" applyFill="1" applyBorder="1" applyAlignment="1">
      <alignment vertical="center"/>
    </xf>
    <xf numFmtId="3" fontId="61" fillId="8" borderId="22" xfId="0" applyNumberFormat="1" applyFont="1" applyFill="1" applyBorder="1" applyAlignment="1">
      <alignment vertical="center"/>
    </xf>
    <xf numFmtId="3" fontId="61" fillId="25" borderId="6" xfId="0" applyNumberFormat="1" applyFont="1" applyFill="1" applyBorder="1" applyAlignment="1">
      <alignment vertical="center"/>
    </xf>
    <xf numFmtId="3" fontId="1" fillId="24" borderId="11" xfId="0" applyNumberFormat="1" applyFont="1" applyFill="1" applyBorder="1" applyAlignment="1">
      <alignment vertical="center"/>
    </xf>
    <xf numFmtId="3" fontId="1" fillId="25" borderId="1" xfId="0" applyNumberFormat="1" applyFont="1" applyFill="1" applyBorder="1" applyAlignment="1">
      <alignment vertical="center"/>
    </xf>
    <xf numFmtId="3" fontId="16" fillId="24" borderId="11" xfId="0" applyNumberFormat="1" applyFont="1" applyFill="1" applyBorder="1" applyAlignment="1">
      <alignment vertical="center"/>
    </xf>
    <xf numFmtId="3" fontId="63" fillId="25" borderId="2" xfId="0" applyNumberFormat="1" applyFont="1" applyFill="1" applyBorder="1" applyAlignment="1">
      <alignment vertical="center"/>
    </xf>
    <xf numFmtId="3" fontId="16" fillId="8" borderId="29" xfId="0" applyNumberFormat="1" applyFont="1" applyFill="1" applyBorder="1" applyAlignment="1">
      <alignment vertical="center"/>
    </xf>
    <xf numFmtId="3" fontId="16" fillId="25" borderId="3" xfId="0" applyNumberFormat="1" applyFont="1" applyFill="1" applyBorder="1" applyAlignment="1">
      <alignment vertical="center"/>
    </xf>
    <xf numFmtId="3" fontId="17" fillId="6" borderId="4" xfId="0" applyNumberFormat="1" applyFont="1" applyFill="1" applyBorder="1" applyAlignment="1">
      <alignment vertical="center"/>
    </xf>
    <xf numFmtId="3" fontId="1" fillId="25" borderId="69" xfId="0" applyNumberFormat="1" applyFont="1" applyFill="1" applyBorder="1" applyAlignment="1">
      <alignment vertical="center"/>
    </xf>
    <xf numFmtId="3" fontId="1" fillId="25" borderId="55" xfId="0" applyNumberFormat="1" applyFont="1" applyFill="1" applyBorder="1" applyAlignment="1">
      <alignment vertical="center"/>
    </xf>
    <xf numFmtId="3" fontId="63" fillId="25" borderId="55" xfId="0" applyNumberFormat="1" applyFont="1" applyFill="1" applyBorder="1" applyAlignment="1">
      <alignment vertical="center"/>
    </xf>
    <xf numFmtId="3" fontId="16" fillId="25" borderId="55" xfId="0" applyNumberFormat="1" applyFont="1" applyFill="1" applyBorder="1" applyAlignment="1">
      <alignment vertical="center"/>
    </xf>
    <xf numFmtId="3" fontId="63" fillId="25" borderId="63" xfId="0" applyNumberFormat="1" applyFont="1" applyFill="1" applyBorder="1" applyAlignment="1">
      <alignment vertical="center"/>
    </xf>
    <xf numFmtId="3" fontId="16" fillId="25" borderId="57" xfId="0" applyNumberFormat="1" applyFont="1" applyFill="1" applyBorder="1" applyAlignment="1">
      <alignment vertical="center"/>
    </xf>
    <xf numFmtId="0" fontId="73" fillId="0" borderId="6" xfId="0" applyFont="1" applyBorder="1" applyAlignment="1">
      <alignment vertical="center" wrapText="1"/>
    </xf>
    <xf numFmtId="3" fontId="73" fillId="7" borderId="22" xfId="0" applyNumberFormat="1" applyFont="1" applyFill="1" applyBorder="1" applyAlignment="1">
      <alignment vertical="center"/>
    </xf>
    <xf numFmtId="3" fontId="73" fillId="7" borderId="7" xfId="0" applyNumberFormat="1" applyFont="1" applyFill="1" applyBorder="1" applyAlignment="1">
      <alignment vertical="center"/>
    </xf>
    <xf numFmtId="3" fontId="73" fillId="17" borderId="7" xfId="0" applyNumberFormat="1" applyFont="1" applyFill="1" applyBorder="1" applyAlignment="1">
      <alignment vertical="center"/>
    </xf>
    <xf numFmtId="3" fontId="73" fillId="24" borderId="8" xfId="0" applyNumberFormat="1" applyFont="1" applyFill="1" applyBorder="1" applyAlignment="1">
      <alignment vertical="center"/>
    </xf>
    <xf numFmtId="3" fontId="73" fillId="8" borderId="22" xfId="0" applyNumberFormat="1" applyFont="1" applyFill="1" applyBorder="1" applyAlignment="1">
      <alignment vertical="center"/>
    </xf>
    <xf numFmtId="3" fontId="73" fillId="8" borderId="8" xfId="0" applyNumberFormat="1" applyFont="1" applyFill="1" applyBorder="1" applyAlignment="1">
      <alignment vertical="center"/>
    </xf>
    <xf numFmtId="3" fontId="73" fillId="25" borderId="47" xfId="0" applyNumberFormat="1" applyFont="1" applyFill="1" applyBorder="1" applyAlignment="1">
      <alignment vertical="center"/>
    </xf>
    <xf numFmtId="3" fontId="73" fillId="14" borderId="6" xfId="0" applyNumberFormat="1" applyFont="1" applyFill="1" applyBorder="1" applyAlignment="1">
      <alignment vertical="center"/>
    </xf>
    <xf numFmtId="3" fontId="63" fillId="7" borderId="24" xfId="0" applyNumberFormat="1" applyFont="1" applyFill="1" applyBorder="1" applyAlignment="1">
      <alignment vertical="center"/>
    </xf>
    <xf numFmtId="3" fontId="16" fillId="25" borderId="1" xfId="0" applyNumberFormat="1" applyFont="1" applyFill="1" applyBorder="1" applyAlignment="1">
      <alignment vertical="center"/>
    </xf>
    <xf numFmtId="3" fontId="16" fillId="25" borderId="2" xfId="0" applyNumberFormat="1" applyFont="1" applyFill="1" applyBorder="1" applyAlignment="1">
      <alignment vertical="center"/>
    </xf>
    <xf numFmtId="3" fontId="63" fillId="24" borderId="11" xfId="0" applyNumberFormat="1" applyFont="1" applyFill="1" applyBorder="1" applyAlignment="1">
      <alignment vertical="center"/>
    </xf>
    <xf numFmtId="3" fontId="64" fillId="7" borderId="22" xfId="0" applyNumberFormat="1" applyFont="1" applyFill="1" applyBorder="1" applyAlignment="1">
      <alignment vertical="center"/>
    </xf>
    <xf numFmtId="3" fontId="64" fillId="26" borderId="7" xfId="0" applyNumberFormat="1" applyFont="1" applyFill="1" applyBorder="1" applyAlignment="1">
      <alignment vertical="center"/>
    </xf>
    <xf numFmtId="3" fontId="64" fillId="24" borderId="8" xfId="0" applyNumberFormat="1" applyFont="1" applyFill="1" applyBorder="1" applyAlignment="1">
      <alignment vertical="center"/>
    </xf>
    <xf numFmtId="3" fontId="64" fillId="8" borderId="22" xfId="0" applyNumberFormat="1" applyFont="1" applyFill="1" applyBorder="1" applyAlignment="1">
      <alignment vertical="center"/>
    </xf>
    <xf numFmtId="3" fontId="64" fillId="25" borderId="6" xfId="0" applyNumberFormat="1" applyFont="1" applyFill="1" applyBorder="1" applyAlignment="1">
      <alignment vertical="center"/>
    </xf>
    <xf numFmtId="3" fontId="62" fillId="6" borderId="5" xfId="0" applyNumberFormat="1" applyFont="1" applyFill="1" applyBorder="1" applyAlignment="1">
      <alignment vertical="center"/>
    </xf>
    <xf numFmtId="3" fontId="63" fillId="7" borderId="38" xfId="0" applyNumberFormat="1" applyFont="1" applyFill="1" applyBorder="1" applyAlignment="1">
      <alignment vertical="center"/>
    </xf>
    <xf numFmtId="3" fontId="17" fillId="24" borderId="46" xfId="0" applyNumberFormat="1" applyFont="1" applyFill="1" applyBorder="1" applyAlignment="1">
      <alignment vertical="center"/>
    </xf>
    <xf numFmtId="3" fontId="17" fillId="8" borderId="38" xfId="0" applyNumberFormat="1" applyFont="1" applyFill="1" applyBorder="1" applyAlignment="1">
      <alignment vertical="center"/>
    </xf>
    <xf numFmtId="3" fontId="17" fillId="25" borderId="44" xfId="0" applyNumberFormat="1" applyFont="1" applyFill="1" applyBorder="1" applyAlignment="1">
      <alignment vertical="center"/>
    </xf>
    <xf numFmtId="3" fontId="16" fillId="14" borderId="44" xfId="0" applyNumberFormat="1" applyFont="1" applyFill="1" applyBorder="1" applyAlignment="1">
      <alignment vertical="center"/>
    </xf>
    <xf numFmtId="3" fontId="14" fillId="24" borderId="11" xfId="0" applyNumberFormat="1" applyFont="1" applyFill="1" applyBorder="1" applyAlignment="1">
      <alignment vertical="center"/>
    </xf>
    <xf numFmtId="3" fontId="14" fillId="8" borderId="24" xfId="0" applyNumberFormat="1" applyFont="1" applyFill="1" applyBorder="1" applyAlignment="1">
      <alignment vertical="center"/>
    </xf>
    <xf numFmtId="3" fontId="17" fillId="25" borderId="1" xfId="0" applyNumberFormat="1" applyFont="1" applyFill="1" applyBorder="1" applyAlignment="1">
      <alignment vertical="center"/>
    </xf>
    <xf numFmtId="3" fontId="61" fillId="7" borderId="27" xfId="0" applyNumberFormat="1" applyFont="1" applyFill="1" applyBorder="1" applyAlignment="1">
      <alignment vertical="center"/>
    </xf>
    <xf numFmtId="3" fontId="61" fillId="26" borderId="28" xfId="0" applyNumberFormat="1" applyFont="1" applyFill="1" applyBorder="1" applyAlignment="1">
      <alignment vertical="center"/>
    </xf>
    <xf numFmtId="3" fontId="61" fillId="24" borderId="10" xfId="0" applyNumberFormat="1" applyFont="1" applyFill="1" applyBorder="1" applyAlignment="1">
      <alignment vertical="center"/>
    </xf>
    <xf numFmtId="3" fontId="61" fillId="8" borderId="27" xfId="0" applyNumberFormat="1" applyFont="1" applyFill="1" applyBorder="1" applyAlignment="1">
      <alignment vertical="center"/>
    </xf>
    <xf numFmtId="3" fontId="61" fillId="25" borderId="2" xfId="0" applyNumberFormat="1" applyFont="1" applyFill="1" applyBorder="1" applyAlignment="1">
      <alignment vertical="center"/>
    </xf>
    <xf numFmtId="3" fontId="14" fillId="24" borderId="10" xfId="0" applyNumberFormat="1" applyFont="1" applyFill="1" applyBorder="1" applyAlignment="1">
      <alignment vertical="center"/>
    </xf>
    <xf numFmtId="3" fontId="14" fillId="8" borderId="27" xfId="0" applyNumberFormat="1" applyFont="1" applyFill="1" applyBorder="1" applyAlignment="1">
      <alignment vertical="center"/>
    </xf>
    <xf numFmtId="3" fontId="17" fillId="25" borderId="2" xfId="0" applyNumberFormat="1" applyFont="1" applyFill="1" applyBorder="1" applyAlignment="1">
      <alignment vertical="center"/>
    </xf>
    <xf numFmtId="3" fontId="61" fillId="7" borderId="29" xfId="0" applyNumberFormat="1" applyFont="1" applyFill="1" applyBorder="1" applyAlignment="1">
      <alignment vertical="center"/>
    </xf>
    <xf numFmtId="3" fontId="61" fillId="26" borderId="30" xfId="0" applyNumberFormat="1" applyFont="1" applyFill="1" applyBorder="1" applyAlignment="1">
      <alignment vertical="center"/>
    </xf>
    <xf numFmtId="3" fontId="61" fillId="24" borderId="31" xfId="0" applyNumberFormat="1" applyFont="1" applyFill="1" applyBorder="1" applyAlignment="1">
      <alignment vertical="center"/>
    </xf>
    <xf numFmtId="3" fontId="61" fillId="8" borderId="29" xfId="0" applyNumberFormat="1" applyFont="1" applyFill="1" applyBorder="1" applyAlignment="1">
      <alignment vertical="center"/>
    </xf>
    <xf numFmtId="3" fontId="61" fillId="25" borderId="3" xfId="0" applyNumberFormat="1" applyFont="1" applyFill="1" applyBorder="1" applyAlignment="1">
      <alignment vertical="center"/>
    </xf>
    <xf numFmtId="3" fontId="63" fillId="7" borderId="36" xfId="0" applyNumberFormat="1" applyFont="1" applyFill="1" applyBorder="1" applyAlignment="1">
      <alignment vertical="center"/>
    </xf>
    <xf numFmtId="3" fontId="14" fillId="24" borderId="9" xfId="0" applyNumberFormat="1" applyFont="1" applyFill="1" applyBorder="1" applyAlignment="1">
      <alignment vertical="center"/>
    </xf>
    <xf numFmtId="3" fontId="14" fillId="8" borderId="36" xfId="0" applyNumberFormat="1" applyFont="1" applyFill="1" applyBorder="1" applyAlignment="1">
      <alignment vertical="center"/>
    </xf>
    <xf numFmtId="3" fontId="17" fillId="25" borderId="5" xfId="0" applyNumberFormat="1" applyFont="1" applyFill="1" applyBorder="1" applyAlignment="1">
      <alignment vertical="center"/>
    </xf>
    <xf numFmtId="3" fontId="14" fillId="25" borderId="2" xfId="0" applyNumberFormat="1" applyFont="1" applyFill="1" applyBorder="1" applyAlignment="1">
      <alignment vertical="center"/>
    </xf>
    <xf numFmtId="3" fontId="14" fillId="24" borderId="31" xfId="0" applyNumberFormat="1" applyFont="1" applyFill="1" applyBorder="1" applyAlignment="1">
      <alignment vertical="center"/>
    </xf>
    <xf numFmtId="3" fontId="14" fillId="8" borderId="29" xfId="0" applyNumberFormat="1" applyFont="1" applyFill="1" applyBorder="1" applyAlignment="1">
      <alignment vertical="center"/>
    </xf>
    <xf numFmtId="3" fontId="14" fillId="25" borderId="3" xfId="0" applyNumberFormat="1" applyFont="1" applyFill="1" applyBorder="1" applyAlignment="1">
      <alignment vertical="center"/>
    </xf>
    <xf numFmtId="3" fontId="61" fillId="7" borderId="24" xfId="0" applyNumberFormat="1" applyFont="1" applyFill="1" applyBorder="1" applyAlignment="1">
      <alignment vertical="center"/>
    </xf>
    <xf numFmtId="3" fontId="14" fillId="25" borderId="1" xfId="0" applyNumberFormat="1" applyFont="1" applyFill="1" applyBorder="1" applyAlignment="1">
      <alignment vertical="center"/>
    </xf>
    <xf numFmtId="3" fontId="74" fillId="6" borderId="5" xfId="0" applyNumberFormat="1" applyFont="1" applyFill="1" applyBorder="1" applyAlignment="1">
      <alignment vertical="center"/>
    </xf>
    <xf numFmtId="3" fontId="63" fillId="7" borderId="22" xfId="0" applyNumberFormat="1" applyFont="1" applyFill="1" applyBorder="1" applyAlignment="1">
      <alignment vertical="center"/>
    </xf>
    <xf numFmtId="3" fontId="63" fillId="26" borderId="7" xfId="0" applyNumberFormat="1" applyFont="1" applyFill="1" applyBorder="1" applyAlignment="1">
      <alignment vertical="center"/>
    </xf>
    <xf numFmtId="3" fontId="63" fillId="24" borderId="8" xfId="0" applyNumberFormat="1" applyFont="1" applyFill="1" applyBorder="1" applyAlignment="1">
      <alignment vertical="center"/>
    </xf>
    <xf numFmtId="3" fontId="63" fillId="8" borderId="22" xfId="0" applyNumberFormat="1" applyFont="1" applyFill="1" applyBorder="1" applyAlignment="1">
      <alignment vertical="center"/>
    </xf>
    <xf numFmtId="3" fontId="63" fillId="25" borderId="6" xfId="0" applyNumberFormat="1" applyFont="1" applyFill="1" applyBorder="1" applyAlignment="1">
      <alignment vertical="center"/>
    </xf>
    <xf numFmtId="3" fontId="17" fillId="25" borderId="6" xfId="0" applyNumberFormat="1" applyFont="1" applyFill="1" applyBorder="1" applyAlignment="1">
      <alignment vertical="center"/>
    </xf>
    <xf numFmtId="3" fontId="16" fillId="25" borderId="6" xfId="0" applyNumberFormat="1" applyFont="1" applyFill="1" applyBorder="1" applyAlignment="1">
      <alignment vertical="center"/>
    </xf>
    <xf numFmtId="3" fontId="65" fillId="5" borderId="22" xfId="0" applyNumberFormat="1" applyFont="1" applyFill="1" applyBorder="1" applyAlignment="1">
      <alignment vertical="center"/>
    </xf>
    <xf numFmtId="3" fontId="18" fillId="25" borderId="6" xfId="0" applyNumberFormat="1" applyFont="1" applyFill="1" applyBorder="1" applyAlignment="1">
      <alignment vertical="center"/>
    </xf>
    <xf numFmtId="3" fontId="66" fillId="26" borderId="28" xfId="0" applyNumberFormat="1" applyFont="1" applyFill="1" applyBorder="1" applyAlignment="1">
      <alignment vertical="center"/>
    </xf>
    <xf numFmtId="3" fontId="66" fillId="24" borderId="10" xfId="0" applyNumberFormat="1" applyFont="1" applyFill="1" applyBorder="1" applyAlignment="1">
      <alignment vertical="center"/>
    </xf>
    <xf numFmtId="3" fontId="66" fillId="8" borderId="27" xfId="0" applyNumberFormat="1" applyFont="1" applyFill="1" applyBorder="1" applyAlignment="1">
      <alignment vertical="center"/>
    </xf>
    <xf numFmtId="3" fontId="66" fillId="25" borderId="2" xfId="0" applyNumberFormat="1" applyFont="1" applyFill="1" applyBorder="1" applyAlignment="1">
      <alignment vertical="center"/>
    </xf>
    <xf numFmtId="3" fontId="17" fillId="25" borderId="3" xfId="0" applyNumberFormat="1" applyFont="1" applyFill="1" applyBorder="1" applyAlignment="1">
      <alignment vertical="center"/>
    </xf>
    <xf numFmtId="3" fontId="17" fillId="14" borderId="3" xfId="0" applyNumberFormat="1" applyFont="1" applyFill="1" applyBorder="1" applyAlignment="1">
      <alignment vertical="center"/>
    </xf>
    <xf numFmtId="3" fontId="14" fillId="24" borderId="46" xfId="0" applyNumberFormat="1" applyFont="1" applyFill="1" applyBorder="1" applyAlignment="1">
      <alignment vertical="center"/>
    </xf>
    <xf numFmtId="3" fontId="14" fillId="8" borderId="38" xfId="0" applyNumberFormat="1" applyFont="1" applyFill="1" applyBorder="1" applyAlignment="1">
      <alignment vertical="center"/>
    </xf>
    <xf numFmtId="3" fontId="14" fillId="25" borderId="44" xfId="0" applyNumberFormat="1" applyFont="1" applyFill="1" applyBorder="1" applyAlignment="1">
      <alignment vertical="center"/>
    </xf>
    <xf numFmtId="3" fontId="63" fillId="24" borderId="10" xfId="0" applyNumberFormat="1" applyFont="1" applyFill="1" applyBorder="1" applyAlignment="1">
      <alignment vertical="center"/>
    </xf>
    <xf numFmtId="3" fontId="0" fillId="7" borderId="13" xfId="0" applyNumberFormat="1" applyFill="1" applyBorder="1" applyAlignment="1">
      <alignment vertical="center"/>
    </xf>
    <xf numFmtId="3" fontId="0" fillId="7" borderId="67" xfId="0" applyNumberForma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1" fillId="5" borderId="2" xfId="0" applyNumberFormat="1" applyFont="1" applyFill="1" applyBorder="1" applyAlignment="1">
      <alignment vertical="center"/>
    </xf>
    <xf numFmtId="3" fontId="1" fillId="5" borderId="3" xfId="0" applyNumberFormat="1" applyFont="1" applyFill="1" applyBorder="1" applyAlignment="1">
      <alignment vertical="center"/>
    </xf>
    <xf numFmtId="3" fontId="14" fillId="5" borderId="6" xfId="0" applyNumberFormat="1" applyFont="1" applyFill="1" applyBorder="1" applyAlignment="1">
      <alignment vertical="center"/>
    </xf>
    <xf numFmtId="3" fontId="62" fillId="5" borderId="8" xfId="0" applyNumberFormat="1" applyFont="1" applyFill="1" applyBorder="1" applyAlignment="1">
      <alignment vertical="center"/>
    </xf>
    <xf numFmtId="3" fontId="62" fillId="5" borderId="6" xfId="0" applyNumberFormat="1" applyFont="1" applyFill="1" applyBorder="1" applyAlignment="1">
      <alignment vertical="center"/>
    </xf>
    <xf numFmtId="3" fontId="63" fillId="5" borderId="10" xfId="0" applyNumberFormat="1" applyFont="1" applyFill="1" applyBorder="1" applyAlignment="1">
      <alignment vertical="center"/>
    </xf>
    <xf numFmtId="3" fontId="63" fillId="5" borderId="3" xfId="0" applyNumberFormat="1" applyFont="1" applyFill="1" applyBorder="1" applyAlignment="1">
      <alignment vertical="center"/>
    </xf>
    <xf numFmtId="3" fontId="61" fillId="5" borderId="6" xfId="0" applyNumberFormat="1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63" fillId="5" borderId="2" xfId="0" applyNumberFormat="1" applyFont="1" applyFill="1" applyBorder="1" applyAlignment="1">
      <alignment vertical="center"/>
    </xf>
    <xf numFmtId="3" fontId="16" fillId="5" borderId="3" xfId="0" applyNumberFormat="1" applyFont="1" applyFill="1" applyBorder="1" applyAlignment="1">
      <alignment vertical="center"/>
    </xf>
    <xf numFmtId="3" fontId="1" fillId="5" borderId="69" xfId="0" applyNumberFormat="1" applyFont="1" applyFill="1" applyBorder="1" applyAlignment="1">
      <alignment vertical="center"/>
    </xf>
    <xf numFmtId="3" fontId="1" fillId="5" borderId="55" xfId="0" applyNumberFormat="1" applyFont="1" applyFill="1" applyBorder="1" applyAlignment="1">
      <alignment vertical="center"/>
    </xf>
    <xf numFmtId="3" fontId="63" fillId="5" borderId="55" xfId="0" applyNumberFormat="1" applyFont="1" applyFill="1" applyBorder="1" applyAlignment="1">
      <alignment vertical="center"/>
    </xf>
    <xf numFmtId="3" fontId="16" fillId="5" borderId="55" xfId="0" applyNumberFormat="1" applyFont="1" applyFill="1" applyBorder="1" applyAlignment="1">
      <alignment vertical="center"/>
    </xf>
    <xf numFmtId="3" fontId="16" fillId="5" borderId="57" xfId="0" applyNumberFormat="1" applyFont="1" applyFill="1" applyBorder="1" applyAlignment="1">
      <alignment vertical="center"/>
    </xf>
    <xf numFmtId="3" fontId="73" fillId="5" borderId="6" xfId="0" applyNumberFormat="1" applyFont="1" applyFill="1" applyBorder="1" applyAlignment="1">
      <alignment vertical="center"/>
    </xf>
    <xf numFmtId="3" fontId="16" fillId="5" borderId="1" xfId="0" applyNumberFormat="1" applyFont="1" applyFill="1" applyBorder="1" applyAlignment="1">
      <alignment vertical="center"/>
    </xf>
    <xf numFmtId="3" fontId="16" fillId="5" borderId="2" xfId="0" applyNumberFormat="1" applyFont="1" applyFill="1" applyBorder="1" applyAlignment="1">
      <alignment vertical="center"/>
    </xf>
    <xf numFmtId="3" fontId="64" fillId="5" borderId="6" xfId="0" applyNumberFormat="1" applyFont="1" applyFill="1" applyBorder="1" applyAlignment="1">
      <alignment vertical="center"/>
    </xf>
    <xf numFmtId="3" fontId="17" fillId="5" borderId="44" xfId="0" applyNumberFormat="1" applyFont="1" applyFill="1" applyBorder="1" applyAlignment="1">
      <alignment vertical="center"/>
    </xf>
    <xf numFmtId="3" fontId="17" fillId="5" borderId="1" xfId="0" applyNumberFormat="1" applyFont="1" applyFill="1" applyBorder="1" applyAlignment="1">
      <alignment vertical="center"/>
    </xf>
    <xf numFmtId="3" fontId="61" fillId="5" borderId="2" xfId="0" applyNumberFormat="1" applyFont="1" applyFill="1" applyBorder="1" applyAlignment="1">
      <alignment vertical="center"/>
    </xf>
    <xf numFmtId="3" fontId="17" fillId="5" borderId="2" xfId="0" applyNumberFormat="1" applyFont="1" applyFill="1" applyBorder="1" applyAlignment="1">
      <alignment vertical="center"/>
    </xf>
    <xf numFmtId="3" fontId="61" fillId="5" borderId="3" xfId="0" applyNumberFormat="1" applyFont="1" applyFill="1" applyBorder="1" applyAlignment="1">
      <alignment vertical="center"/>
    </xf>
    <xf numFmtId="3" fontId="17" fillId="5" borderId="5" xfId="0" applyNumberFormat="1" applyFont="1" applyFill="1" applyBorder="1" applyAlignment="1">
      <alignment vertical="center"/>
    </xf>
    <xf numFmtId="3" fontId="14" fillId="5" borderId="2" xfId="0" applyNumberFormat="1" applyFont="1" applyFill="1" applyBorder="1" applyAlignment="1">
      <alignment vertical="center"/>
    </xf>
    <xf numFmtId="3" fontId="14" fillId="5" borderId="3" xfId="0" applyNumberFormat="1" applyFont="1" applyFill="1" applyBorder="1" applyAlignment="1">
      <alignment vertical="center"/>
    </xf>
    <xf numFmtId="3" fontId="14" fillId="5" borderId="1" xfId="0" applyNumberFormat="1" applyFont="1" applyFill="1" applyBorder="1" applyAlignment="1">
      <alignment vertical="center"/>
    </xf>
    <xf numFmtId="3" fontId="63" fillId="5" borderId="6" xfId="0" applyNumberFormat="1" applyFont="1" applyFill="1" applyBorder="1" applyAlignment="1">
      <alignment vertical="center"/>
    </xf>
    <xf numFmtId="3" fontId="17" fillId="5" borderId="6" xfId="0" applyNumberFormat="1" applyFont="1" applyFill="1" applyBorder="1" applyAlignment="1">
      <alignment vertical="center"/>
    </xf>
    <xf numFmtId="3" fontId="16" fillId="5" borderId="6" xfId="0" applyNumberFormat="1" applyFont="1" applyFill="1" applyBorder="1" applyAlignment="1">
      <alignment vertical="center"/>
    </xf>
    <xf numFmtId="3" fontId="18" fillId="5" borderId="6" xfId="0" applyNumberFormat="1" applyFont="1" applyFill="1" applyBorder="1" applyAlignment="1">
      <alignment vertical="center"/>
    </xf>
    <xf numFmtId="3" fontId="66" fillId="5" borderId="2" xfId="0" applyNumberFormat="1" applyFont="1" applyFill="1" applyBorder="1" applyAlignment="1">
      <alignment vertical="center"/>
    </xf>
    <xf numFmtId="3" fontId="17" fillId="5" borderId="3" xfId="0" applyNumberFormat="1" applyFont="1" applyFill="1" applyBorder="1" applyAlignment="1">
      <alignment vertical="center"/>
    </xf>
    <xf numFmtId="3" fontId="14" fillId="5" borderId="44" xfId="0" applyNumberFormat="1" applyFont="1" applyFill="1" applyBorder="1" applyAlignment="1">
      <alignment vertical="center"/>
    </xf>
    <xf numFmtId="3" fontId="14" fillId="26" borderId="32" xfId="0" applyNumberFormat="1" applyFont="1" applyFill="1" applyBorder="1" applyAlignment="1">
      <alignment horizontal="center" vertical="center" wrapText="1"/>
    </xf>
    <xf numFmtId="3" fontId="14" fillId="26" borderId="16" xfId="0" applyNumberFormat="1" applyFont="1" applyFill="1" applyBorder="1" applyAlignment="1">
      <alignment horizontal="center" vertical="center" wrapText="1"/>
    </xf>
    <xf numFmtId="3" fontId="1" fillId="26" borderId="67" xfId="0" applyNumberFormat="1" applyFont="1" applyFill="1" applyBorder="1" applyAlignment="1">
      <alignment vertical="center"/>
    </xf>
    <xf numFmtId="3" fontId="1" fillId="26" borderId="14" xfId="0" applyNumberFormat="1" applyFont="1" applyFill="1" applyBorder="1" applyAlignment="1">
      <alignment vertical="center"/>
    </xf>
    <xf numFmtId="3" fontId="1" fillId="26" borderId="48" xfId="0" applyNumberFormat="1" applyFont="1" applyFill="1" applyBorder="1" applyAlignment="1">
      <alignment vertical="center"/>
    </xf>
    <xf numFmtId="3" fontId="1" fillId="26" borderId="25" xfId="0" applyNumberFormat="1" applyFont="1" applyFill="1" applyBorder="1" applyAlignment="1">
      <alignment vertical="center"/>
    </xf>
    <xf numFmtId="3" fontId="1" fillId="26" borderId="37" xfId="0" applyNumberFormat="1" applyFont="1" applyFill="1" applyBorder="1" applyAlignment="1">
      <alignment vertical="center"/>
    </xf>
    <xf numFmtId="3" fontId="1" fillId="26" borderId="28" xfId="0" applyNumberFormat="1" applyFont="1" applyFill="1" applyBorder="1" applyAlignment="1">
      <alignment vertical="center"/>
    </xf>
    <xf numFmtId="3" fontId="1" fillId="26" borderId="68" xfId="0" applyNumberFormat="1" applyFont="1" applyFill="1" applyBorder="1" applyAlignment="1">
      <alignment vertical="center"/>
    </xf>
    <xf numFmtId="3" fontId="1" fillId="26" borderId="30" xfId="0" applyNumberFormat="1" applyFont="1" applyFill="1" applyBorder="1" applyAlignment="1">
      <alignment vertical="center"/>
    </xf>
    <xf numFmtId="3" fontId="14" fillId="26" borderId="40" xfId="0" applyNumberFormat="1" applyFont="1" applyFill="1" applyBorder="1" applyAlignment="1">
      <alignment vertical="center"/>
    </xf>
    <xf numFmtId="3" fontId="14" fillId="26" borderId="7" xfId="0" applyNumberFormat="1" applyFont="1" applyFill="1" applyBorder="1" applyAlignment="1">
      <alignment vertical="center"/>
    </xf>
    <xf numFmtId="3" fontId="61" fillId="26" borderId="8" xfId="0" applyNumberFormat="1" applyFont="1" applyFill="1" applyBorder="1" applyAlignment="1">
      <alignment vertical="center"/>
    </xf>
    <xf numFmtId="3" fontId="1" fillId="26" borderId="32" xfId="0" applyNumberFormat="1" applyFont="1" applyFill="1" applyBorder="1" applyAlignment="1">
      <alignment vertical="center"/>
    </xf>
    <xf numFmtId="3" fontId="1" fillId="26" borderId="16" xfId="0" applyNumberFormat="1" applyFont="1" applyFill="1" applyBorder="1" applyAlignment="1">
      <alignment vertical="center"/>
    </xf>
    <xf numFmtId="3" fontId="62" fillId="26" borderId="40" xfId="0" applyNumberFormat="1" applyFont="1" applyFill="1" applyBorder="1" applyAlignment="1">
      <alignment vertical="center"/>
    </xf>
    <xf numFmtId="3" fontId="62" fillId="26" borderId="7" xfId="0" applyNumberFormat="1" applyFont="1" applyFill="1" applyBorder="1" applyAlignment="1">
      <alignment vertical="center"/>
    </xf>
    <xf numFmtId="3" fontId="64" fillId="26" borderId="9" xfId="0" applyNumberFormat="1" applyFont="1" applyFill="1" applyBorder="1" applyAlignment="1">
      <alignment vertical="center"/>
    </xf>
    <xf numFmtId="3" fontId="64" fillId="26" borderId="21" xfId="0" applyNumberFormat="1" applyFont="1" applyFill="1" applyBorder="1" applyAlignment="1">
      <alignment vertical="center"/>
    </xf>
    <xf numFmtId="3" fontId="63" fillId="26" borderId="37" xfId="0" applyNumberFormat="1" applyFont="1" applyFill="1" applyBorder="1" applyAlignment="1">
      <alignment vertical="center"/>
    </xf>
    <xf numFmtId="3" fontId="63" fillId="26" borderId="10" xfId="0" applyNumberFormat="1" applyFont="1" applyFill="1" applyBorder="1" applyAlignment="1">
      <alignment vertical="center"/>
    </xf>
    <xf numFmtId="3" fontId="63" fillId="26" borderId="68" xfId="0" applyNumberFormat="1" applyFont="1" applyFill="1" applyBorder="1" applyAlignment="1">
      <alignment vertical="center"/>
    </xf>
    <xf numFmtId="3" fontId="61" fillId="26" borderId="40" xfId="0" applyNumberFormat="1" applyFont="1" applyFill="1" applyBorder="1" applyAlignment="1">
      <alignment vertical="center"/>
    </xf>
    <xf numFmtId="3" fontId="16" fillId="26" borderId="68" xfId="0" applyNumberFormat="1" applyFont="1" applyFill="1" applyBorder="1" applyAlignment="1">
      <alignment vertical="center"/>
    </xf>
    <xf numFmtId="3" fontId="16" fillId="26" borderId="30" xfId="0" applyNumberFormat="1" applyFont="1" applyFill="1" applyBorder="1" applyAlignment="1">
      <alignment vertical="center"/>
    </xf>
    <xf numFmtId="3" fontId="63" fillId="26" borderId="11" xfId="0" applyNumberFormat="1" applyFont="1" applyFill="1" applyBorder="1" applyAlignment="1">
      <alignment vertical="center"/>
    </xf>
    <xf numFmtId="3" fontId="73" fillId="26" borderId="40" xfId="0" applyNumberFormat="1" applyFont="1" applyFill="1" applyBorder="1" applyAlignment="1">
      <alignment vertical="center"/>
    </xf>
    <xf numFmtId="3" fontId="73" fillId="26" borderId="8" xfId="0" applyNumberFormat="1" applyFont="1" applyFill="1" applyBorder="1" applyAlignment="1">
      <alignment vertical="center"/>
    </xf>
    <xf numFmtId="3" fontId="61" fillId="26" borderId="22" xfId="0" applyNumberFormat="1" applyFont="1" applyFill="1" applyBorder="1" applyAlignment="1">
      <alignment vertical="center"/>
    </xf>
    <xf numFmtId="3" fontId="64" fillId="26" borderId="22" xfId="0" applyNumberFormat="1" applyFont="1" applyFill="1" applyBorder="1" applyAlignment="1">
      <alignment vertical="center"/>
    </xf>
    <xf numFmtId="3" fontId="64" fillId="26" borderId="8" xfId="0" applyNumberFormat="1" applyFont="1" applyFill="1" applyBorder="1" applyAlignment="1">
      <alignment vertical="center"/>
    </xf>
    <xf numFmtId="3" fontId="17" fillId="26" borderId="50" xfId="0" applyNumberFormat="1" applyFont="1" applyFill="1" applyBorder="1" applyAlignment="1">
      <alignment vertical="center"/>
    </xf>
    <xf numFmtId="3" fontId="17" fillId="26" borderId="39" xfId="0" applyNumberFormat="1" applyFont="1" applyFill="1" applyBorder="1" applyAlignment="1">
      <alignment vertical="center"/>
    </xf>
    <xf numFmtId="3" fontId="63" fillId="26" borderId="46" xfId="0" applyNumberFormat="1" applyFont="1" applyFill="1" applyBorder="1" applyAlignment="1">
      <alignment vertical="center"/>
    </xf>
    <xf numFmtId="3" fontId="14" fillId="26" borderId="48" xfId="0" applyNumberFormat="1" applyFont="1" applyFill="1" applyBorder="1" applyAlignment="1">
      <alignment vertical="center"/>
    </xf>
    <xf numFmtId="3" fontId="14" fillId="26" borderId="25" xfId="0" applyNumberFormat="1" applyFont="1" applyFill="1" applyBorder="1" applyAlignment="1">
      <alignment vertical="center"/>
    </xf>
    <xf numFmtId="3" fontId="61" fillId="26" borderId="37" xfId="0" applyNumberFormat="1" applyFont="1" applyFill="1" applyBorder="1" applyAlignment="1">
      <alignment vertical="center"/>
    </xf>
    <xf numFmtId="3" fontId="61" fillId="26" borderId="10" xfId="0" applyNumberFormat="1" applyFont="1" applyFill="1" applyBorder="1" applyAlignment="1">
      <alignment vertical="center"/>
    </xf>
    <xf numFmtId="3" fontId="14" fillId="26" borderId="37" xfId="0" applyNumberFormat="1" applyFont="1" applyFill="1" applyBorder="1" applyAlignment="1">
      <alignment vertical="center"/>
    </xf>
    <xf numFmtId="3" fontId="14" fillId="26" borderId="28" xfId="0" applyNumberFormat="1" applyFont="1" applyFill="1" applyBorder="1" applyAlignment="1">
      <alignment vertical="center"/>
    </xf>
    <xf numFmtId="3" fontId="61" fillId="26" borderId="68" xfId="0" applyNumberFormat="1" applyFont="1" applyFill="1" applyBorder="1" applyAlignment="1">
      <alignment vertical="center"/>
    </xf>
    <xf numFmtId="3" fontId="61" fillId="26" borderId="31" xfId="0" applyNumberFormat="1" applyFont="1" applyFill="1" applyBorder="1" applyAlignment="1">
      <alignment vertical="center"/>
    </xf>
    <xf numFmtId="3" fontId="64" fillId="26" borderId="40" xfId="0" applyNumberFormat="1" applyFont="1" applyFill="1" applyBorder="1" applyAlignment="1">
      <alignment vertical="center"/>
    </xf>
    <xf numFmtId="3" fontId="14" fillId="26" borderId="67" xfId="0" applyNumberFormat="1" applyFont="1" applyFill="1" applyBorder="1" applyAlignment="1">
      <alignment vertical="center"/>
    </xf>
    <xf numFmtId="3" fontId="14" fillId="26" borderId="14" xfId="0" applyNumberFormat="1" applyFont="1" applyFill="1" applyBorder="1" applyAlignment="1">
      <alignment vertical="center"/>
    </xf>
    <xf numFmtId="3" fontId="63" fillId="26" borderId="9" xfId="0" applyNumberFormat="1" applyFont="1" applyFill="1" applyBorder="1" applyAlignment="1">
      <alignment vertical="center"/>
    </xf>
    <xf numFmtId="3" fontId="14" fillId="26" borderId="68" xfId="0" applyNumberFormat="1" applyFont="1" applyFill="1" applyBorder="1" applyAlignment="1">
      <alignment vertical="center"/>
    </xf>
    <xf numFmtId="3" fontId="14" fillId="26" borderId="30" xfId="0" applyNumberFormat="1" applyFont="1" applyFill="1" applyBorder="1" applyAlignment="1">
      <alignment vertical="center"/>
    </xf>
    <xf numFmtId="3" fontId="61" fillId="26" borderId="11" xfId="0" applyNumberFormat="1" applyFont="1" applyFill="1" applyBorder="1" applyAlignment="1">
      <alignment vertical="center"/>
    </xf>
    <xf numFmtId="3" fontId="14" fillId="26" borderId="22" xfId="0" applyNumberFormat="1" applyFont="1" applyFill="1" applyBorder="1" applyAlignment="1">
      <alignment vertical="center"/>
    </xf>
    <xf numFmtId="3" fontId="63" fillId="26" borderId="22" xfId="0" applyNumberFormat="1" applyFont="1" applyFill="1" applyBorder="1" applyAlignment="1">
      <alignment vertical="center"/>
    </xf>
    <xf numFmtId="3" fontId="63" fillId="26" borderId="8" xfId="0" applyNumberFormat="1" applyFont="1" applyFill="1" applyBorder="1" applyAlignment="1">
      <alignment vertical="center"/>
    </xf>
    <xf numFmtId="3" fontId="67" fillId="26" borderId="8" xfId="0" applyNumberFormat="1" applyFont="1" applyFill="1" applyBorder="1" applyAlignment="1">
      <alignment vertical="center"/>
    </xf>
    <xf numFmtId="3" fontId="0" fillId="26" borderId="8" xfId="0" applyNumberFormat="1" applyFill="1" applyBorder="1" applyAlignment="1">
      <alignment vertical="center"/>
    </xf>
    <xf numFmtId="3" fontId="66" fillId="26" borderId="37" xfId="0" applyNumberFormat="1" applyFont="1" applyFill="1" applyBorder="1" applyAlignment="1">
      <alignment vertical="center"/>
    </xf>
    <xf numFmtId="3" fontId="66" fillId="26" borderId="10" xfId="0" applyNumberFormat="1" applyFont="1" applyFill="1" applyBorder="1" applyAlignment="1">
      <alignment vertical="center"/>
    </xf>
    <xf numFmtId="3" fontId="14" fillId="26" borderId="50" xfId="0" applyNumberFormat="1" applyFont="1" applyFill="1" applyBorder="1" applyAlignment="1">
      <alignment vertical="center"/>
    </xf>
    <xf numFmtId="3" fontId="14" fillId="26" borderId="39" xfId="0" applyNumberFormat="1" applyFont="1" applyFill="1" applyBorder="1" applyAlignment="1">
      <alignment vertical="center"/>
    </xf>
    <xf numFmtId="3" fontId="61" fillId="26" borderId="46" xfId="0" applyNumberFormat="1" applyFont="1" applyFill="1" applyBorder="1" applyAlignment="1">
      <alignment vertical="center"/>
    </xf>
    <xf numFmtId="3" fontId="0" fillId="26" borderId="11" xfId="0" applyNumberFormat="1" applyFill="1" applyBorder="1" applyAlignment="1">
      <alignment vertical="center"/>
    </xf>
    <xf numFmtId="3" fontId="0" fillId="26" borderId="10" xfId="0" applyNumberFormat="1" applyFill="1" applyBorder="1" applyAlignment="1">
      <alignment vertical="center"/>
    </xf>
    <xf numFmtId="3" fontId="14" fillId="27" borderId="16" xfId="0" applyNumberFormat="1" applyFont="1" applyFill="1" applyBorder="1" applyAlignment="1">
      <alignment horizontal="center" vertical="center" wrapText="1"/>
    </xf>
    <xf numFmtId="3" fontId="0" fillId="27" borderId="25" xfId="0" applyNumberFormat="1" applyFill="1" applyBorder="1" applyAlignment="1">
      <alignment vertical="center"/>
    </xf>
    <xf numFmtId="3" fontId="0" fillId="27" borderId="28" xfId="0" applyNumberFormat="1" applyFill="1" applyBorder="1" applyAlignment="1">
      <alignment vertical="center"/>
    </xf>
    <xf numFmtId="3" fontId="0" fillId="27" borderId="30" xfId="0" applyNumberFormat="1" applyFill="1" applyBorder="1" applyAlignment="1">
      <alignment vertical="center"/>
    </xf>
    <xf numFmtId="3" fontId="14" fillId="27" borderId="7" xfId="0" applyNumberFormat="1" applyFont="1" applyFill="1" applyBorder="1" applyAlignment="1">
      <alignment vertical="center"/>
    </xf>
    <xf numFmtId="3" fontId="1" fillId="27" borderId="30" xfId="0" applyNumberFormat="1" applyFont="1" applyFill="1" applyBorder="1" applyAlignment="1">
      <alignment vertical="center"/>
    </xf>
    <xf numFmtId="3" fontId="14" fillId="27" borderId="30" xfId="0" applyNumberFormat="1" applyFont="1" applyFill="1" applyBorder="1" applyAlignment="1">
      <alignment vertical="center"/>
    </xf>
    <xf numFmtId="3" fontId="62" fillId="27" borderId="7" xfId="0" applyNumberFormat="1" applyFont="1" applyFill="1" applyBorder="1" applyAlignment="1">
      <alignment vertical="center"/>
    </xf>
    <xf numFmtId="3" fontId="0" fillId="27" borderId="14" xfId="0" applyNumberFormat="1" applyFill="1" applyBorder="1" applyAlignment="1">
      <alignment vertical="center"/>
    </xf>
    <xf numFmtId="3" fontId="0" fillId="27" borderId="16" xfId="0" applyNumberFormat="1" applyFill="1" applyBorder="1" applyAlignment="1">
      <alignment vertical="center"/>
    </xf>
    <xf numFmtId="3" fontId="63" fillId="27" borderId="28" xfId="0" applyNumberFormat="1" applyFont="1" applyFill="1" applyBorder="1" applyAlignment="1">
      <alignment vertical="center"/>
    </xf>
    <xf numFmtId="3" fontId="63" fillId="27" borderId="30" xfId="0" applyNumberFormat="1" applyFont="1" applyFill="1" applyBorder="1" applyAlignment="1">
      <alignment vertical="center"/>
    </xf>
    <xf numFmtId="3" fontId="61" fillId="27" borderId="7" xfId="0" applyNumberFormat="1" applyFont="1" applyFill="1" applyBorder="1" applyAlignment="1">
      <alignment vertical="center"/>
    </xf>
    <xf numFmtId="3" fontId="73" fillId="27" borderId="7" xfId="0" applyNumberFormat="1" applyFont="1" applyFill="1" applyBorder="1" applyAlignment="1">
      <alignment vertical="center"/>
    </xf>
    <xf numFmtId="3" fontId="63" fillId="27" borderId="25" xfId="0" applyNumberFormat="1" applyFont="1" applyFill="1" applyBorder="1" applyAlignment="1">
      <alignment vertical="center"/>
    </xf>
    <xf numFmtId="3" fontId="64" fillId="27" borderId="7" xfId="0" applyNumberFormat="1" applyFont="1" applyFill="1" applyBorder="1" applyAlignment="1">
      <alignment vertical="center"/>
    </xf>
    <xf numFmtId="3" fontId="63" fillId="27" borderId="39" xfId="0" applyNumberFormat="1" applyFont="1" applyFill="1" applyBorder="1" applyAlignment="1">
      <alignment vertical="center"/>
    </xf>
    <xf numFmtId="3" fontId="61" fillId="27" borderId="28" xfId="0" applyNumberFormat="1" applyFont="1" applyFill="1" applyBorder="1" applyAlignment="1">
      <alignment vertical="center"/>
    </xf>
    <xf numFmtId="3" fontId="61" fillId="27" borderId="30" xfId="0" applyNumberFormat="1" applyFont="1" applyFill="1" applyBorder="1" applyAlignment="1">
      <alignment vertical="center"/>
    </xf>
    <xf numFmtId="3" fontId="63" fillId="27" borderId="14" xfId="0" applyNumberFormat="1" applyFont="1" applyFill="1" applyBorder="1" applyAlignment="1">
      <alignment vertical="center"/>
    </xf>
    <xf numFmtId="3" fontId="61" fillId="27" borderId="25" xfId="0" applyNumberFormat="1" applyFont="1" applyFill="1" applyBorder="1" applyAlignment="1">
      <alignment vertical="center"/>
    </xf>
    <xf numFmtId="3" fontId="63" fillId="27" borderId="7" xfId="0" applyNumberFormat="1" applyFont="1" applyFill="1" applyBorder="1" applyAlignment="1">
      <alignment vertical="center"/>
    </xf>
    <xf numFmtId="3" fontId="67" fillId="27" borderId="7" xfId="0" applyNumberFormat="1" applyFont="1" applyFill="1" applyBorder="1" applyAlignment="1">
      <alignment vertical="center"/>
    </xf>
    <xf numFmtId="3" fontId="0" fillId="27" borderId="7" xfId="0" applyNumberFormat="1" applyFill="1" applyBorder="1" applyAlignment="1">
      <alignment vertical="center"/>
    </xf>
    <xf numFmtId="3" fontId="66" fillId="27" borderId="28" xfId="0" applyNumberFormat="1" applyFont="1" applyFill="1" applyBorder="1" applyAlignment="1">
      <alignment vertical="center"/>
    </xf>
    <xf numFmtId="3" fontId="61" fillId="27" borderId="39" xfId="0" applyNumberFormat="1" applyFont="1" applyFill="1" applyBorder="1" applyAlignment="1">
      <alignment vertical="center"/>
    </xf>
    <xf numFmtId="3" fontId="14" fillId="26" borderId="36" xfId="0" applyNumberFormat="1" applyFont="1" applyFill="1" applyBorder="1" applyAlignment="1">
      <alignment vertical="center"/>
    </xf>
    <xf numFmtId="3" fontId="14" fillId="26" borderId="27" xfId="0" applyNumberFormat="1" applyFont="1" applyFill="1" applyBorder="1" applyAlignment="1">
      <alignment vertical="center"/>
    </xf>
    <xf numFmtId="0" fontId="63" fillId="0" borderId="4" xfId="0" applyFont="1" applyBorder="1" applyAlignment="1">
      <alignment vertical="center" wrapText="1"/>
    </xf>
    <xf numFmtId="3" fontId="63" fillId="17" borderId="16" xfId="0" applyNumberFormat="1" applyFont="1" applyFill="1" applyBorder="1" applyAlignment="1">
      <alignment vertical="center"/>
    </xf>
    <xf numFmtId="3" fontId="63" fillId="27" borderId="16" xfId="0" applyNumberFormat="1" applyFont="1" applyFill="1" applyBorder="1" applyAlignment="1">
      <alignment vertical="center"/>
    </xf>
    <xf numFmtId="3" fontId="14" fillId="24" borderId="12" xfId="0" applyNumberFormat="1" applyFont="1" applyFill="1" applyBorder="1" applyAlignment="1">
      <alignment vertical="center"/>
    </xf>
    <xf numFmtId="3" fontId="14" fillId="8" borderId="32" xfId="0" applyNumberFormat="1" applyFont="1" applyFill="1" applyBorder="1" applyAlignment="1">
      <alignment vertical="center"/>
    </xf>
    <xf numFmtId="3" fontId="63" fillId="8" borderId="12" xfId="0" applyNumberFormat="1" applyFont="1" applyFill="1" applyBorder="1" applyAlignment="1">
      <alignment vertical="center"/>
    </xf>
    <xf numFmtId="3" fontId="17" fillId="25" borderId="4" xfId="0" applyNumberFormat="1" applyFont="1" applyFill="1" applyBorder="1" applyAlignment="1">
      <alignment vertical="center"/>
    </xf>
    <xf numFmtId="3" fontId="17" fillId="5" borderId="4" xfId="0" applyNumberFormat="1" applyFont="1" applyFill="1" applyBorder="1" applyAlignment="1">
      <alignment vertical="center"/>
    </xf>
    <xf numFmtId="3" fontId="14" fillId="26" borderId="32" xfId="0" applyNumberFormat="1" applyFont="1" applyFill="1" applyBorder="1" applyAlignment="1">
      <alignment vertical="center"/>
    </xf>
    <xf numFmtId="3" fontId="14" fillId="26" borderId="16" xfId="0" applyNumberFormat="1" applyFont="1" applyFill="1" applyBorder="1" applyAlignment="1">
      <alignment vertical="center"/>
    </xf>
    <xf numFmtId="3" fontId="63" fillId="26" borderId="12" xfId="0" applyNumberFormat="1" applyFont="1" applyFill="1" applyBorder="1" applyAlignment="1">
      <alignment vertical="center"/>
    </xf>
    <xf numFmtId="3" fontId="17" fillId="14" borderId="4" xfId="0" applyNumberFormat="1" applyFont="1" applyFill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1" fillId="25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14" borderId="4" xfId="0" applyNumberFormat="1" applyFont="1" applyFill="1" applyBorder="1" applyAlignment="1">
      <alignment vertical="center"/>
    </xf>
    <xf numFmtId="3" fontId="0" fillId="8" borderId="9" xfId="0" applyNumberFormat="1" applyFill="1" applyBorder="1" applyAlignment="1">
      <alignment vertical="center"/>
    </xf>
    <xf numFmtId="3" fontId="14" fillId="25" borderId="5" xfId="0" applyNumberFormat="1" applyFont="1" applyFill="1" applyBorder="1" applyAlignment="1">
      <alignment vertical="center"/>
    </xf>
    <xf numFmtId="3" fontId="14" fillId="5" borderId="5" xfId="0" applyNumberFormat="1" applyFont="1" applyFill="1" applyBorder="1" applyAlignment="1">
      <alignment vertical="center"/>
    </xf>
    <xf numFmtId="3" fontId="0" fillId="26" borderId="9" xfId="0" applyNumberFormat="1" applyFill="1" applyBorder="1" applyAlignment="1">
      <alignment vertical="center"/>
    </xf>
    <xf numFmtId="3" fontId="14" fillId="14" borderId="5" xfId="0" applyNumberFormat="1" applyFont="1" applyFill="1" applyBorder="1" applyAlignment="1">
      <alignment vertical="center"/>
    </xf>
    <xf numFmtId="3" fontId="0" fillId="8" borderId="12" xfId="0" applyNumberFormat="1" applyFill="1" applyBorder="1" applyAlignment="1">
      <alignment vertical="center"/>
    </xf>
    <xf numFmtId="3" fontId="14" fillId="25" borderId="4" xfId="0" applyNumberFormat="1" applyFont="1" applyFill="1" applyBorder="1" applyAlignment="1">
      <alignment vertical="center"/>
    </xf>
    <xf numFmtId="3" fontId="14" fillId="5" borderId="4" xfId="0" applyNumberFormat="1" applyFont="1" applyFill="1" applyBorder="1" applyAlignment="1">
      <alignment vertical="center"/>
    </xf>
    <xf numFmtId="3" fontId="0" fillId="26" borderId="12" xfId="0" applyNumberFormat="1" applyFill="1" applyBorder="1" applyAlignment="1">
      <alignment vertical="center"/>
    </xf>
    <xf numFmtId="3" fontId="14" fillId="14" borderId="4" xfId="0" applyNumberFormat="1" applyFont="1" applyFill="1" applyBorder="1" applyAlignment="1">
      <alignment vertical="center"/>
    </xf>
    <xf numFmtId="3" fontId="70" fillId="5" borderId="6" xfId="0" applyNumberFormat="1" applyFont="1" applyFill="1" applyBorder="1" applyAlignment="1">
      <alignment vertical="center"/>
    </xf>
    <xf numFmtId="0" fontId="66" fillId="0" borderId="5" xfId="0" applyFont="1" applyBorder="1" applyAlignment="1">
      <alignment vertical="center" wrapText="1"/>
    </xf>
    <xf numFmtId="3" fontId="66" fillId="17" borderId="14" xfId="0" applyNumberFormat="1" applyFont="1" applyFill="1" applyBorder="1" applyAlignment="1">
      <alignment vertical="center"/>
    </xf>
    <xf numFmtId="3" fontId="66" fillId="27" borderId="14" xfId="0" applyNumberFormat="1" applyFont="1" applyFill="1" applyBorder="1" applyAlignment="1">
      <alignment vertical="center"/>
    </xf>
    <xf numFmtId="3" fontId="66" fillId="24" borderId="9" xfId="0" applyNumberFormat="1" applyFont="1" applyFill="1" applyBorder="1" applyAlignment="1">
      <alignment vertical="center"/>
    </xf>
    <xf numFmtId="3" fontId="66" fillId="8" borderId="36" xfId="0" applyNumberFormat="1" applyFont="1" applyFill="1" applyBorder="1" applyAlignment="1">
      <alignment vertical="center"/>
    </xf>
    <xf numFmtId="3" fontId="66" fillId="8" borderId="9" xfId="0" applyNumberFormat="1" applyFont="1" applyFill="1" applyBorder="1" applyAlignment="1">
      <alignment vertical="center"/>
    </xf>
    <xf numFmtId="3" fontId="66" fillId="25" borderId="5" xfId="0" applyNumberFormat="1" applyFont="1" applyFill="1" applyBorder="1" applyAlignment="1">
      <alignment vertical="center"/>
    </xf>
    <xf numFmtId="3" fontId="66" fillId="5" borderId="5" xfId="0" applyNumberFormat="1" applyFont="1" applyFill="1" applyBorder="1" applyAlignment="1">
      <alignment vertical="center"/>
    </xf>
    <xf numFmtId="3" fontId="66" fillId="26" borderId="67" xfId="0" applyNumberFormat="1" applyFont="1" applyFill="1" applyBorder="1" applyAlignment="1">
      <alignment vertical="center"/>
    </xf>
    <xf numFmtId="3" fontId="66" fillId="26" borderId="14" xfId="0" applyNumberFormat="1" applyFont="1" applyFill="1" applyBorder="1" applyAlignment="1">
      <alignment vertical="center"/>
    </xf>
    <xf numFmtId="3" fontId="66" fillId="26" borderId="9" xfId="0" applyNumberFormat="1" applyFont="1" applyFill="1" applyBorder="1" applyAlignment="1">
      <alignment vertical="center"/>
    </xf>
    <xf numFmtId="3" fontId="66" fillId="14" borderId="5" xfId="0" applyNumberFormat="1" applyFont="1" applyFill="1" applyBorder="1" applyAlignment="1">
      <alignment vertical="center"/>
    </xf>
    <xf numFmtId="3" fontId="66" fillId="7" borderId="36" xfId="0" applyNumberFormat="1" applyFont="1" applyFill="1" applyBorder="1" applyAlignment="1">
      <alignment vertical="center"/>
    </xf>
    <xf numFmtId="3" fontId="66" fillId="7" borderId="14" xfId="0" applyNumberFormat="1" applyFont="1" applyFill="1" applyBorder="1" applyAlignment="1">
      <alignment vertical="center"/>
    </xf>
    <xf numFmtId="3" fontId="66" fillId="7" borderId="27" xfId="0" applyNumberFormat="1" applyFont="1" applyFill="1" applyBorder="1" applyAlignment="1">
      <alignment vertical="center"/>
    </xf>
    <xf numFmtId="3" fontId="61" fillId="7" borderId="38" xfId="0" applyNumberFormat="1" applyFont="1" applyFill="1" applyBorder="1" applyAlignment="1">
      <alignment vertical="center"/>
    </xf>
    <xf numFmtId="3" fontId="0" fillId="6" borderId="0" xfId="0" applyNumberFormat="1" applyFill="1" applyAlignment="1">
      <alignment vertical="center"/>
    </xf>
    <xf numFmtId="0" fontId="0" fillId="0" borderId="36" xfId="0" applyBorder="1" applyAlignment="1">
      <alignment vertical="center"/>
    </xf>
    <xf numFmtId="166" fontId="0" fillId="0" borderId="9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166" fontId="0" fillId="0" borderId="10" xfId="0" applyNumberFormat="1" applyBorder="1" applyAlignment="1">
      <alignment vertical="center"/>
    </xf>
    <xf numFmtId="3" fontId="75" fillId="0" borderId="0" xfId="0" applyNumberFormat="1" applyFont="1" applyAlignment="1">
      <alignment vertical="center"/>
    </xf>
    <xf numFmtId="3" fontId="63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 vertical="center"/>
    </xf>
    <xf numFmtId="166" fontId="0" fillId="0" borderId="69" xfId="0" applyNumberFormat="1" applyBorder="1" applyAlignment="1">
      <alignment vertical="center"/>
    </xf>
    <xf numFmtId="166" fontId="0" fillId="0" borderId="55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166" fontId="69" fillId="0" borderId="58" xfId="0" applyNumberFormat="1" applyFont="1" applyBorder="1" applyAlignment="1">
      <alignment vertical="center"/>
    </xf>
    <xf numFmtId="3" fontId="1" fillId="28" borderId="5" xfId="0" applyNumberFormat="1" applyFont="1" applyFill="1" applyBorder="1" applyAlignment="1">
      <alignment vertical="center"/>
    </xf>
    <xf numFmtId="3" fontId="1" fillId="28" borderId="2" xfId="0" applyNumberFormat="1" applyFont="1" applyFill="1" applyBorder="1" applyAlignment="1">
      <alignment vertical="center"/>
    </xf>
    <xf numFmtId="3" fontId="1" fillId="28" borderId="3" xfId="0" applyNumberFormat="1" applyFont="1" applyFill="1" applyBorder="1" applyAlignment="1">
      <alignment vertical="center"/>
    </xf>
    <xf numFmtId="3" fontId="14" fillId="28" borderId="6" xfId="0" applyNumberFormat="1" applyFont="1" applyFill="1" applyBorder="1" applyAlignment="1">
      <alignment vertical="center"/>
    </xf>
    <xf numFmtId="3" fontId="62" fillId="28" borderId="6" xfId="0" applyNumberFormat="1" applyFont="1" applyFill="1" applyBorder="1" applyAlignment="1">
      <alignment vertical="center"/>
    </xf>
    <xf numFmtId="3" fontId="63" fillId="28" borderId="2" xfId="0" applyNumberFormat="1" applyFont="1" applyFill="1" applyBorder="1" applyAlignment="1">
      <alignment vertical="center"/>
    </xf>
    <xf numFmtId="3" fontId="63" fillId="28" borderId="3" xfId="0" applyNumberFormat="1" applyFont="1" applyFill="1" applyBorder="1" applyAlignment="1">
      <alignment vertical="center"/>
    </xf>
    <xf numFmtId="3" fontId="61" fillId="28" borderId="6" xfId="0" applyNumberFormat="1" applyFont="1" applyFill="1" applyBorder="1" applyAlignment="1">
      <alignment vertical="center"/>
    </xf>
    <xf numFmtId="3" fontId="1" fillId="28" borderId="1" xfId="0" applyNumberFormat="1" applyFont="1" applyFill="1" applyBorder="1" applyAlignment="1">
      <alignment vertical="center"/>
    </xf>
    <xf numFmtId="3" fontId="16" fillId="28" borderId="3" xfId="0" applyNumberFormat="1" applyFont="1" applyFill="1" applyBorder="1" applyAlignment="1">
      <alignment vertical="center"/>
    </xf>
    <xf numFmtId="3" fontId="16" fillId="28" borderId="2" xfId="0" applyNumberFormat="1" applyFont="1" applyFill="1" applyBorder="1" applyAlignment="1">
      <alignment vertical="center"/>
    </xf>
    <xf numFmtId="3" fontId="16" fillId="28" borderId="1" xfId="0" applyNumberFormat="1" applyFont="1" applyFill="1" applyBorder="1" applyAlignment="1">
      <alignment vertical="center"/>
    </xf>
    <xf numFmtId="3" fontId="64" fillId="28" borderId="6" xfId="0" applyNumberFormat="1" applyFont="1" applyFill="1" applyBorder="1" applyAlignment="1">
      <alignment vertical="center"/>
    </xf>
    <xf numFmtId="3" fontId="17" fillId="28" borderId="44" xfId="0" applyNumberFormat="1" applyFont="1" applyFill="1" applyBorder="1" applyAlignment="1">
      <alignment vertical="center"/>
    </xf>
    <xf numFmtId="3" fontId="17" fillId="28" borderId="1" xfId="0" applyNumberFormat="1" applyFont="1" applyFill="1" applyBorder="1" applyAlignment="1">
      <alignment vertical="center"/>
    </xf>
    <xf numFmtId="3" fontId="61" fillId="28" borderId="2" xfId="0" applyNumberFormat="1" applyFont="1" applyFill="1" applyBorder="1" applyAlignment="1">
      <alignment vertical="center"/>
    </xf>
    <xf numFmtId="3" fontId="17" fillId="28" borderId="2" xfId="0" applyNumberFormat="1" applyFont="1" applyFill="1" applyBorder="1" applyAlignment="1">
      <alignment vertical="center"/>
    </xf>
    <xf numFmtId="3" fontId="64" fillId="28" borderId="4" xfId="0" applyNumberFormat="1" applyFont="1" applyFill="1" applyBorder="1" applyAlignment="1">
      <alignment vertical="center"/>
    </xf>
    <xf numFmtId="3" fontId="17" fillId="28" borderId="5" xfId="0" applyNumberFormat="1" applyFont="1" applyFill="1" applyBorder="1" applyAlignment="1">
      <alignment vertical="center"/>
    </xf>
    <xf numFmtId="3" fontId="14" fillId="28" borderId="2" xfId="0" applyNumberFormat="1" applyFont="1" applyFill="1" applyBorder="1" applyAlignment="1">
      <alignment vertical="center"/>
    </xf>
    <xf numFmtId="3" fontId="14" fillId="28" borderId="3" xfId="0" applyNumberFormat="1" applyFont="1" applyFill="1" applyBorder="1" applyAlignment="1">
      <alignment vertical="center"/>
    </xf>
    <xf numFmtId="3" fontId="14" fillId="28" borderId="1" xfId="0" applyNumberFormat="1" applyFont="1" applyFill="1" applyBorder="1" applyAlignment="1">
      <alignment vertical="center"/>
    </xf>
    <xf numFmtId="3" fontId="66" fillId="28" borderId="1" xfId="0" applyNumberFormat="1" applyFont="1" applyFill="1" applyBorder="1" applyAlignment="1">
      <alignment vertical="center"/>
    </xf>
    <xf numFmtId="3" fontId="66" fillId="28" borderId="2" xfId="0" applyNumberFormat="1" applyFont="1" applyFill="1" applyBorder="1" applyAlignment="1">
      <alignment vertical="center"/>
    </xf>
    <xf numFmtId="3" fontId="61" fillId="28" borderId="3" xfId="0" applyNumberFormat="1" applyFont="1" applyFill="1" applyBorder="1" applyAlignment="1">
      <alignment vertical="center"/>
    </xf>
    <xf numFmtId="3" fontId="14" fillId="28" borderId="44" xfId="0" applyNumberFormat="1" applyFont="1" applyFill="1" applyBorder="1" applyAlignment="1">
      <alignment vertical="center"/>
    </xf>
    <xf numFmtId="3" fontId="1" fillId="29" borderId="5" xfId="0" applyNumberFormat="1" applyFont="1" applyFill="1" applyBorder="1" applyAlignment="1">
      <alignment vertical="center"/>
    </xf>
    <xf numFmtId="3" fontId="1" fillId="29" borderId="2" xfId="0" applyNumberFormat="1" applyFont="1" applyFill="1" applyBorder="1" applyAlignment="1">
      <alignment vertical="center"/>
    </xf>
    <xf numFmtId="3" fontId="1" fillId="29" borderId="3" xfId="0" applyNumberFormat="1" applyFont="1" applyFill="1" applyBorder="1" applyAlignment="1">
      <alignment vertical="center"/>
    </xf>
    <xf numFmtId="3" fontId="14" fillId="29" borderId="6" xfId="0" applyNumberFormat="1" applyFont="1" applyFill="1" applyBorder="1" applyAlignment="1">
      <alignment vertical="center"/>
    </xf>
    <xf numFmtId="3" fontId="62" fillId="29" borderId="6" xfId="0" applyNumberFormat="1" applyFont="1" applyFill="1" applyBorder="1" applyAlignment="1">
      <alignment vertical="center"/>
    </xf>
    <xf numFmtId="3" fontId="63" fillId="29" borderId="2" xfId="0" applyNumberFormat="1" applyFont="1" applyFill="1" applyBorder="1" applyAlignment="1">
      <alignment vertical="center"/>
    </xf>
    <xf numFmtId="3" fontId="63" fillId="29" borderId="3" xfId="0" applyNumberFormat="1" applyFont="1" applyFill="1" applyBorder="1" applyAlignment="1">
      <alignment vertical="center"/>
    </xf>
    <xf numFmtId="3" fontId="61" fillId="29" borderId="6" xfId="0" applyNumberFormat="1" applyFont="1" applyFill="1" applyBorder="1" applyAlignment="1">
      <alignment vertical="center"/>
    </xf>
    <xf numFmtId="3" fontId="1" fillId="29" borderId="1" xfId="0" applyNumberFormat="1" applyFont="1" applyFill="1" applyBorder="1" applyAlignment="1">
      <alignment vertical="center"/>
    </xf>
    <xf numFmtId="3" fontId="16" fillId="29" borderId="3" xfId="0" applyNumberFormat="1" applyFont="1" applyFill="1" applyBorder="1" applyAlignment="1">
      <alignment vertical="center"/>
    </xf>
    <xf numFmtId="3" fontId="16" fillId="29" borderId="2" xfId="0" applyNumberFormat="1" applyFont="1" applyFill="1" applyBorder="1" applyAlignment="1">
      <alignment vertical="center"/>
    </xf>
    <xf numFmtId="3" fontId="16" fillId="29" borderId="1" xfId="0" applyNumberFormat="1" applyFont="1" applyFill="1" applyBorder="1" applyAlignment="1">
      <alignment vertical="center"/>
    </xf>
    <xf numFmtId="3" fontId="64" fillId="29" borderId="6" xfId="0" applyNumberFormat="1" applyFont="1" applyFill="1" applyBorder="1" applyAlignment="1">
      <alignment vertical="center"/>
    </xf>
    <xf numFmtId="3" fontId="17" fillId="29" borderId="44" xfId="0" applyNumberFormat="1" applyFont="1" applyFill="1" applyBorder="1" applyAlignment="1">
      <alignment vertical="center"/>
    </xf>
    <xf numFmtId="3" fontId="17" fillId="29" borderId="1" xfId="0" applyNumberFormat="1" applyFont="1" applyFill="1" applyBorder="1" applyAlignment="1">
      <alignment vertical="center"/>
    </xf>
    <xf numFmtId="3" fontId="61" fillId="29" borderId="2" xfId="0" applyNumberFormat="1" applyFont="1" applyFill="1" applyBorder="1" applyAlignment="1">
      <alignment vertical="center"/>
    </xf>
    <xf numFmtId="3" fontId="17" fillId="29" borderId="2" xfId="0" applyNumberFormat="1" applyFont="1" applyFill="1" applyBorder="1" applyAlignment="1">
      <alignment vertical="center"/>
    </xf>
    <xf numFmtId="3" fontId="64" fillId="29" borderId="4" xfId="0" applyNumberFormat="1" applyFont="1" applyFill="1" applyBorder="1" applyAlignment="1">
      <alignment vertical="center"/>
    </xf>
    <xf numFmtId="3" fontId="17" fillId="29" borderId="5" xfId="0" applyNumberFormat="1" applyFont="1" applyFill="1" applyBorder="1" applyAlignment="1">
      <alignment vertical="center"/>
    </xf>
    <xf numFmtId="3" fontId="14" fillId="29" borderId="2" xfId="0" applyNumberFormat="1" applyFont="1" applyFill="1" applyBorder="1" applyAlignment="1">
      <alignment vertical="center"/>
    </xf>
    <xf numFmtId="3" fontId="14" fillId="29" borderId="3" xfId="0" applyNumberFormat="1" applyFont="1" applyFill="1" applyBorder="1" applyAlignment="1">
      <alignment vertical="center"/>
    </xf>
    <xf numFmtId="3" fontId="14" fillId="29" borderId="1" xfId="0" applyNumberFormat="1" applyFont="1" applyFill="1" applyBorder="1" applyAlignment="1">
      <alignment vertical="center"/>
    </xf>
    <xf numFmtId="3" fontId="66" fillId="29" borderId="1" xfId="0" applyNumberFormat="1" applyFont="1" applyFill="1" applyBorder="1" applyAlignment="1">
      <alignment vertical="center"/>
    </xf>
    <xf numFmtId="3" fontId="66" fillId="29" borderId="2" xfId="0" applyNumberFormat="1" applyFont="1" applyFill="1" applyBorder="1" applyAlignment="1">
      <alignment vertical="center"/>
    </xf>
    <xf numFmtId="3" fontId="61" fillId="29" borderId="3" xfId="0" applyNumberFormat="1" applyFont="1" applyFill="1" applyBorder="1" applyAlignment="1">
      <alignment vertical="center"/>
    </xf>
    <xf numFmtId="3" fontId="14" fillId="29" borderId="44" xfId="0" applyNumberFormat="1" applyFont="1" applyFill="1" applyBorder="1" applyAlignment="1">
      <alignment vertical="center"/>
    </xf>
    <xf numFmtId="3" fontId="1" fillId="30" borderId="5" xfId="0" applyNumberFormat="1" applyFont="1" applyFill="1" applyBorder="1" applyAlignment="1">
      <alignment vertical="center"/>
    </xf>
    <xf numFmtId="3" fontId="1" fillId="30" borderId="2" xfId="0" applyNumberFormat="1" applyFont="1" applyFill="1" applyBorder="1" applyAlignment="1">
      <alignment vertical="center"/>
    </xf>
    <xf numFmtId="3" fontId="1" fillId="30" borderId="3" xfId="0" applyNumberFormat="1" applyFont="1" applyFill="1" applyBorder="1" applyAlignment="1">
      <alignment vertical="center"/>
    </xf>
    <xf numFmtId="3" fontId="14" fillId="30" borderId="6" xfId="0" applyNumberFormat="1" applyFont="1" applyFill="1" applyBorder="1" applyAlignment="1">
      <alignment vertical="center"/>
    </xf>
    <xf numFmtId="3" fontId="62" fillId="30" borderId="6" xfId="0" applyNumberFormat="1" applyFont="1" applyFill="1" applyBorder="1" applyAlignment="1">
      <alignment vertical="center"/>
    </xf>
    <xf numFmtId="3" fontId="63" fillId="30" borderId="2" xfId="0" applyNumberFormat="1" applyFont="1" applyFill="1" applyBorder="1" applyAlignment="1">
      <alignment vertical="center"/>
    </xf>
    <xf numFmtId="3" fontId="63" fillId="30" borderId="3" xfId="0" applyNumberFormat="1" applyFont="1" applyFill="1" applyBorder="1" applyAlignment="1">
      <alignment vertical="center"/>
    </xf>
    <xf numFmtId="3" fontId="61" fillId="30" borderId="6" xfId="0" applyNumberFormat="1" applyFont="1" applyFill="1" applyBorder="1" applyAlignment="1">
      <alignment vertical="center"/>
    </xf>
    <xf numFmtId="3" fontId="1" fillId="30" borderId="1" xfId="0" applyNumberFormat="1" applyFont="1" applyFill="1" applyBorder="1" applyAlignment="1">
      <alignment vertical="center"/>
    </xf>
    <xf numFmtId="3" fontId="16" fillId="30" borderId="3" xfId="0" applyNumberFormat="1" applyFont="1" applyFill="1" applyBorder="1" applyAlignment="1">
      <alignment vertical="center"/>
    </xf>
    <xf numFmtId="3" fontId="16" fillId="30" borderId="2" xfId="0" applyNumberFormat="1" applyFont="1" applyFill="1" applyBorder="1" applyAlignment="1">
      <alignment vertical="center"/>
    </xf>
    <xf numFmtId="3" fontId="16" fillId="30" borderId="1" xfId="0" applyNumberFormat="1" applyFont="1" applyFill="1" applyBorder="1" applyAlignment="1">
      <alignment vertical="center"/>
    </xf>
    <xf numFmtId="3" fontId="64" fillId="30" borderId="6" xfId="0" applyNumberFormat="1" applyFont="1" applyFill="1" applyBorder="1" applyAlignment="1">
      <alignment vertical="center"/>
    </xf>
    <xf numFmtId="3" fontId="17" fillId="30" borderId="44" xfId="0" applyNumberFormat="1" applyFont="1" applyFill="1" applyBorder="1" applyAlignment="1">
      <alignment vertical="center"/>
    </xf>
    <xf numFmtId="3" fontId="17" fillId="30" borderId="1" xfId="0" applyNumberFormat="1" applyFont="1" applyFill="1" applyBorder="1" applyAlignment="1">
      <alignment vertical="center"/>
    </xf>
    <xf numFmtId="3" fontId="61" fillId="30" borderId="2" xfId="0" applyNumberFormat="1" applyFont="1" applyFill="1" applyBorder="1" applyAlignment="1">
      <alignment vertical="center"/>
    </xf>
    <xf numFmtId="3" fontId="17" fillId="30" borderId="2" xfId="0" applyNumberFormat="1" applyFont="1" applyFill="1" applyBorder="1" applyAlignment="1">
      <alignment vertical="center"/>
    </xf>
    <xf numFmtId="3" fontId="64" fillId="30" borderId="4" xfId="0" applyNumberFormat="1" applyFont="1" applyFill="1" applyBorder="1" applyAlignment="1">
      <alignment vertical="center"/>
    </xf>
    <xf numFmtId="3" fontId="17" fillId="30" borderId="5" xfId="0" applyNumberFormat="1" applyFont="1" applyFill="1" applyBorder="1" applyAlignment="1">
      <alignment vertical="center"/>
    </xf>
    <xf numFmtId="3" fontId="14" fillId="30" borderId="2" xfId="0" applyNumberFormat="1" applyFont="1" applyFill="1" applyBorder="1" applyAlignment="1">
      <alignment vertical="center"/>
    </xf>
    <xf numFmtId="3" fontId="14" fillId="30" borderId="3" xfId="0" applyNumberFormat="1" applyFont="1" applyFill="1" applyBorder="1" applyAlignment="1">
      <alignment vertical="center"/>
    </xf>
    <xf numFmtId="3" fontId="14" fillId="30" borderId="1" xfId="0" applyNumberFormat="1" applyFont="1" applyFill="1" applyBorder="1" applyAlignment="1">
      <alignment vertical="center"/>
    </xf>
    <xf numFmtId="3" fontId="66" fillId="30" borderId="1" xfId="0" applyNumberFormat="1" applyFont="1" applyFill="1" applyBorder="1" applyAlignment="1">
      <alignment vertical="center"/>
    </xf>
    <xf numFmtId="3" fontId="66" fillId="30" borderId="2" xfId="0" applyNumberFormat="1" applyFont="1" applyFill="1" applyBorder="1" applyAlignment="1">
      <alignment vertical="center"/>
    </xf>
    <xf numFmtId="3" fontId="61" fillId="30" borderId="3" xfId="0" applyNumberFormat="1" applyFont="1" applyFill="1" applyBorder="1" applyAlignment="1">
      <alignment vertical="center"/>
    </xf>
    <xf numFmtId="3" fontId="14" fillId="30" borderId="44" xfId="0" applyNumberFormat="1" applyFont="1" applyFill="1" applyBorder="1" applyAlignment="1">
      <alignment vertical="center"/>
    </xf>
    <xf numFmtId="3" fontId="1" fillId="24" borderId="5" xfId="0" applyNumberFormat="1" applyFont="1" applyFill="1" applyBorder="1" applyAlignment="1">
      <alignment vertical="center"/>
    </xf>
    <xf numFmtId="3" fontId="1" fillId="24" borderId="2" xfId="0" applyNumberFormat="1" applyFont="1" applyFill="1" applyBorder="1" applyAlignment="1">
      <alignment vertical="center"/>
    </xf>
    <xf numFmtId="3" fontId="1" fillId="24" borderId="3" xfId="0" applyNumberFormat="1" applyFont="1" applyFill="1" applyBorder="1" applyAlignment="1">
      <alignment vertical="center"/>
    </xf>
    <xf numFmtId="3" fontId="14" fillId="24" borderId="6" xfId="0" applyNumberFormat="1" applyFont="1" applyFill="1" applyBorder="1" applyAlignment="1">
      <alignment vertical="center"/>
    </xf>
    <xf numFmtId="3" fontId="62" fillId="24" borderId="6" xfId="0" applyNumberFormat="1" applyFont="1" applyFill="1" applyBorder="1" applyAlignment="1">
      <alignment vertical="center"/>
    </xf>
    <xf numFmtId="3" fontId="63" fillId="24" borderId="2" xfId="0" applyNumberFormat="1" applyFont="1" applyFill="1" applyBorder="1" applyAlignment="1">
      <alignment vertical="center"/>
    </xf>
    <xf numFmtId="3" fontId="63" fillId="24" borderId="3" xfId="0" applyNumberFormat="1" applyFont="1" applyFill="1" applyBorder="1" applyAlignment="1">
      <alignment vertical="center"/>
    </xf>
    <xf numFmtId="3" fontId="61" fillId="24" borderId="6" xfId="0" applyNumberFormat="1" applyFont="1" applyFill="1" applyBorder="1" applyAlignment="1">
      <alignment vertical="center"/>
    </xf>
    <xf numFmtId="3" fontId="1" fillId="24" borderId="1" xfId="0" applyNumberFormat="1" applyFont="1" applyFill="1" applyBorder="1" applyAlignment="1">
      <alignment vertical="center"/>
    </xf>
    <xf numFmtId="3" fontId="16" fillId="24" borderId="3" xfId="0" applyNumberFormat="1" applyFont="1" applyFill="1" applyBorder="1" applyAlignment="1">
      <alignment vertical="center"/>
    </xf>
    <xf numFmtId="3" fontId="16" fillId="24" borderId="2" xfId="0" applyNumberFormat="1" applyFont="1" applyFill="1" applyBorder="1" applyAlignment="1">
      <alignment vertical="center"/>
    </xf>
    <xf numFmtId="3" fontId="16" fillId="24" borderId="1" xfId="0" applyNumberFormat="1" applyFont="1" applyFill="1" applyBorder="1" applyAlignment="1">
      <alignment vertical="center"/>
    </xf>
    <xf numFmtId="3" fontId="64" fillId="24" borderId="6" xfId="0" applyNumberFormat="1" applyFont="1" applyFill="1" applyBorder="1" applyAlignment="1">
      <alignment vertical="center"/>
    </xf>
    <xf numFmtId="3" fontId="17" fillId="24" borderId="44" xfId="0" applyNumberFormat="1" applyFont="1" applyFill="1" applyBorder="1" applyAlignment="1">
      <alignment vertical="center"/>
    </xf>
    <xf numFmtId="3" fontId="17" fillId="24" borderId="1" xfId="0" applyNumberFormat="1" applyFont="1" applyFill="1" applyBorder="1" applyAlignment="1">
      <alignment vertical="center"/>
    </xf>
    <xf numFmtId="3" fontId="61" fillId="24" borderId="2" xfId="0" applyNumberFormat="1" applyFont="1" applyFill="1" applyBorder="1" applyAlignment="1">
      <alignment vertical="center"/>
    </xf>
    <xf numFmtId="3" fontId="17" fillId="24" borderId="2" xfId="0" applyNumberFormat="1" applyFont="1" applyFill="1" applyBorder="1" applyAlignment="1">
      <alignment vertical="center"/>
    </xf>
    <xf numFmtId="3" fontId="64" fillId="24" borderId="4" xfId="0" applyNumberFormat="1" applyFont="1" applyFill="1" applyBorder="1" applyAlignment="1">
      <alignment vertical="center"/>
    </xf>
    <xf numFmtId="3" fontId="17" fillId="24" borderId="5" xfId="0" applyNumberFormat="1" applyFont="1" applyFill="1" applyBorder="1" applyAlignment="1">
      <alignment vertical="center"/>
    </xf>
    <xf numFmtId="3" fontId="14" fillId="24" borderId="2" xfId="0" applyNumberFormat="1" applyFont="1" applyFill="1" applyBorder="1" applyAlignment="1">
      <alignment vertical="center"/>
    </xf>
    <xf numFmtId="3" fontId="14" fillId="24" borderId="3" xfId="0" applyNumberFormat="1" applyFont="1" applyFill="1" applyBorder="1" applyAlignment="1">
      <alignment vertical="center"/>
    </xf>
    <xf numFmtId="3" fontId="14" fillId="24" borderId="1" xfId="0" applyNumberFormat="1" applyFont="1" applyFill="1" applyBorder="1" applyAlignment="1">
      <alignment vertical="center"/>
    </xf>
    <xf numFmtId="3" fontId="66" fillId="24" borderId="1" xfId="0" applyNumberFormat="1" applyFont="1" applyFill="1" applyBorder="1" applyAlignment="1">
      <alignment vertical="center"/>
    </xf>
    <xf numFmtId="3" fontId="66" fillId="24" borderId="2" xfId="0" applyNumberFormat="1" applyFont="1" applyFill="1" applyBorder="1" applyAlignment="1">
      <alignment vertical="center"/>
    </xf>
    <xf numFmtId="3" fontId="61" fillId="24" borderId="3" xfId="0" applyNumberFormat="1" applyFont="1" applyFill="1" applyBorder="1" applyAlignment="1">
      <alignment vertical="center"/>
    </xf>
    <xf numFmtId="3" fontId="14" fillId="24" borderId="44" xfId="0" applyNumberFormat="1" applyFont="1" applyFill="1" applyBorder="1" applyAlignment="1">
      <alignment vertical="center"/>
    </xf>
    <xf numFmtId="166" fontId="0" fillId="0" borderId="28" xfId="0" applyNumberFormat="1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0" borderId="32" xfId="0" applyBorder="1" applyAlignment="1">
      <alignment vertical="center"/>
    </xf>
    <xf numFmtId="166" fontId="0" fillId="0" borderId="16" xfId="0" applyNumberFormat="1" applyBorder="1" applyAlignment="1">
      <alignment vertical="center"/>
    </xf>
    <xf numFmtId="3" fontId="1" fillId="26" borderId="5" xfId="0" applyNumberFormat="1" applyFont="1" applyFill="1" applyBorder="1" applyAlignment="1">
      <alignment vertical="center"/>
    </xf>
    <xf numFmtId="3" fontId="1" fillId="26" borderId="2" xfId="0" applyNumberFormat="1" applyFont="1" applyFill="1" applyBorder="1" applyAlignment="1">
      <alignment vertical="center"/>
    </xf>
    <xf numFmtId="3" fontId="1" fillId="26" borderId="3" xfId="0" applyNumberFormat="1" applyFont="1" applyFill="1" applyBorder="1" applyAlignment="1">
      <alignment vertical="center"/>
    </xf>
    <xf numFmtId="3" fontId="14" fillId="26" borderId="6" xfId="0" applyNumberFormat="1" applyFont="1" applyFill="1" applyBorder="1" applyAlignment="1">
      <alignment vertical="center"/>
    </xf>
    <xf numFmtId="3" fontId="62" fillId="26" borderId="6" xfId="0" applyNumberFormat="1" applyFont="1" applyFill="1" applyBorder="1" applyAlignment="1">
      <alignment vertical="center"/>
    </xf>
    <xf numFmtId="3" fontId="63" fillId="26" borderId="2" xfId="0" applyNumberFormat="1" applyFont="1" applyFill="1" applyBorder="1" applyAlignment="1">
      <alignment vertical="center"/>
    </xf>
    <xf numFmtId="3" fontId="63" fillId="26" borderId="3" xfId="0" applyNumberFormat="1" applyFont="1" applyFill="1" applyBorder="1" applyAlignment="1">
      <alignment vertical="center"/>
    </xf>
    <xf numFmtId="3" fontId="61" fillId="26" borderId="6" xfId="0" applyNumberFormat="1" applyFont="1" applyFill="1" applyBorder="1" applyAlignment="1">
      <alignment vertical="center"/>
    </xf>
    <xf numFmtId="3" fontId="1" fillId="26" borderId="1" xfId="0" applyNumberFormat="1" applyFont="1" applyFill="1" applyBorder="1" applyAlignment="1">
      <alignment vertical="center"/>
    </xf>
    <xf numFmtId="3" fontId="16" fillId="26" borderId="3" xfId="0" applyNumberFormat="1" applyFont="1" applyFill="1" applyBorder="1" applyAlignment="1">
      <alignment vertical="center"/>
    </xf>
    <xf numFmtId="3" fontId="16" fillId="26" borderId="2" xfId="0" applyNumberFormat="1" applyFont="1" applyFill="1" applyBorder="1" applyAlignment="1">
      <alignment vertical="center"/>
    </xf>
    <xf numFmtId="3" fontId="16" fillId="26" borderId="1" xfId="0" applyNumberFormat="1" applyFont="1" applyFill="1" applyBorder="1" applyAlignment="1">
      <alignment vertical="center"/>
    </xf>
    <xf numFmtId="3" fontId="64" fillId="26" borderId="6" xfId="0" applyNumberFormat="1" applyFont="1" applyFill="1" applyBorder="1" applyAlignment="1">
      <alignment vertical="center"/>
    </xf>
    <xf numFmtId="3" fontId="17" fillId="26" borderId="44" xfId="0" applyNumberFormat="1" applyFont="1" applyFill="1" applyBorder="1" applyAlignment="1">
      <alignment vertical="center"/>
    </xf>
    <xf numFmtId="3" fontId="17" fillId="26" borderId="1" xfId="0" applyNumberFormat="1" applyFont="1" applyFill="1" applyBorder="1" applyAlignment="1">
      <alignment vertical="center"/>
    </xf>
    <xf numFmtId="3" fontId="61" fillId="26" borderId="2" xfId="0" applyNumberFormat="1" applyFont="1" applyFill="1" applyBorder="1" applyAlignment="1">
      <alignment vertical="center"/>
    </xf>
    <xf numFmtId="3" fontId="17" fillId="26" borderId="2" xfId="0" applyNumberFormat="1" applyFont="1" applyFill="1" applyBorder="1" applyAlignment="1">
      <alignment vertical="center"/>
    </xf>
    <xf numFmtId="3" fontId="64" fillId="26" borderId="4" xfId="0" applyNumberFormat="1" applyFont="1" applyFill="1" applyBorder="1" applyAlignment="1">
      <alignment vertical="center"/>
    </xf>
    <xf numFmtId="3" fontId="17" fillId="26" borderId="5" xfId="0" applyNumberFormat="1" applyFont="1" applyFill="1" applyBorder="1" applyAlignment="1">
      <alignment vertical="center"/>
    </xf>
    <xf numFmtId="3" fontId="14" fillId="26" borderId="2" xfId="0" applyNumberFormat="1" applyFont="1" applyFill="1" applyBorder="1" applyAlignment="1">
      <alignment vertical="center"/>
    </xf>
    <xf numFmtId="3" fontId="14" fillId="26" borderId="3" xfId="0" applyNumberFormat="1" applyFont="1" applyFill="1" applyBorder="1" applyAlignment="1">
      <alignment vertical="center"/>
    </xf>
    <xf numFmtId="3" fontId="14" fillId="26" borderId="1" xfId="0" applyNumberFormat="1" applyFont="1" applyFill="1" applyBorder="1" applyAlignment="1">
      <alignment vertical="center"/>
    </xf>
    <xf numFmtId="3" fontId="66" fillId="26" borderId="1" xfId="0" applyNumberFormat="1" applyFont="1" applyFill="1" applyBorder="1" applyAlignment="1">
      <alignment vertical="center"/>
    </xf>
    <xf numFmtId="3" fontId="66" fillId="26" borderId="2" xfId="0" applyNumberFormat="1" applyFont="1" applyFill="1" applyBorder="1" applyAlignment="1">
      <alignment vertical="center"/>
    </xf>
    <xf numFmtId="3" fontId="61" fillId="26" borderId="3" xfId="0" applyNumberFormat="1" applyFont="1" applyFill="1" applyBorder="1" applyAlignment="1">
      <alignment vertical="center"/>
    </xf>
    <xf numFmtId="3" fontId="14" fillId="26" borderId="44" xfId="0" applyNumberFormat="1" applyFont="1" applyFill="1" applyBorder="1" applyAlignment="1">
      <alignment vertical="center"/>
    </xf>
    <xf numFmtId="3" fontId="0" fillId="7" borderId="14" xfId="0" applyNumberFormat="1" applyFont="1" applyFill="1" applyBorder="1" applyAlignment="1">
      <alignment vertical="center"/>
    </xf>
    <xf numFmtId="3" fontId="14" fillId="11" borderId="5" xfId="0" applyNumberFormat="1" applyFont="1" applyFill="1" applyBorder="1" applyAlignment="1">
      <alignment vertical="center"/>
    </xf>
    <xf numFmtId="3" fontId="14" fillId="19" borderId="5" xfId="0" applyNumberFormat="1" applyFont="1" applyFill="1" applyBorder="1" applyAlignment="1">
      <alignment vertical="center"/>
    </xf>
    <xf numFmtId="3" fontId="14" fillId="20" borderId="5" xfId="0" applyNumberFormat="1" applyFont="1" applyFill="1" applyBorder="1" applyAlignment="1">
      <alignment vertical="center"/>
    </xf>
    <xf numFmtId="3" fontId="14" fillId="18" borderId="5" xfId="0" applyNumberFormat="1" applyFont="1" applyFill="1" applyBorder="1" applyAlignment="1">
      <alignment vertical="center"/>
    </xf>
    <xf numFmtId="3" fontId="14" fillId="16" borderId="5" xfId="0" applyNumberFormat="1" applyFont="1" applyFill="1" applyBorder="1" applyAlignment="1">
      <alignment vertical="center"/>
    </xf>
    <xf numFmtId="3" fontId="14" fillId="21" borderId="5" xfId="0" applyNumberFormat="1" applyFont="1" applyFill="1" applyBorder="1" applyAlignment="1">
      <alignment vertical="center"/>
    </xf>
    <xf numFmtId="3" fontId="14" fillId="26" borderId="5" xfId="0" applyNumberFormat="1" applyFont="1" applyFill="1" applyBorder="1" applyAlignment="1">
      <alignment vertical="center"/>
    </xf>
    <xf numFmtId="3" fontId="14" fillId="22" borderId="5" xfId="0" applyNumberFormat="1" applyFont="1" applyFill="1" applyBorder="1" applyAlignment="1">
      <alignment vertical="center"/>
    </xf>
    <xf numFmtId="3" fontId="14" fillId="23" borderId="5" xfId="0" applyNumberFormat="1" applyFont="1" applyFill="1" applyBorder="1" applyAlignment="1">
      <alignment vertical="center"/>
    </xf>
    <xf numFmtId="3" fontId="14" fillId="28" borderId="5" xfId="0" applyNumberFormat="1" applyFont="1" applyFill="1" applyBorder="1" applyAlignment="1">
      <alignment vertical="center"/>
    </xf>
    <xf numFmtId="3" fontId="14" fillId="15" borderId="5" xfId="0" applyNumberFormat="1" applyFont="1" applyFill="1" applyBorder="1" applyAlignment="1">
      <alignment vertical="center"/>
    </xf>
    <xf numFmtId="3" fontId="14" fillId="30" borderId="5" xfId="0" applyNumberFormat="1" applyFont="1" applyFill="1" applyBorder="1" applyAlignment="1">
      <alignment vertical="center"/>
    </xf>
    <xf numFmtId="3" fontId="14" fillId="29" borderId="5" xfId="0" applyNumberFormat="1" applyFont="1" applyFill="1" applyBorder="1" applyAlignment="1">
      <alignment vertical="center"/>
    </xf>
    <xf numFmtId="3" fontId="14" fillId="24" borderId="5" xfId="0" applyNumberFormat="1" applyFont="1" applyFill="1" applyBorder="1" applyAlignment="1">
      <alignment vertical="center"/>
    </xf>
    <xf numFmtId="3" fontId="14" fillId="13" borderId="5" xfId="0" applyNumberFormat="1" applyFont="1" applyFill="1" applyBorder="1" applyAlignment="1">
      <alignment vertical="center"/>
    </xf>
    <xf numFmtId="3" fontId="14" fillId="12" borderId="5" xfId="0" applyNumberFormat="1" applyFont="1" applyFill="1" applyBorder="1" applyAlignment="1">
      <alignment vertical="center"/>
    </xf>
    <xf numFmtId="3" fontId="63" fillId="7" borderId="16" xfId="0" applyNumberFormat="1" applyFont="1" applyFill="1" applyBorder="1" applyAlignment="1">
      <alignment vertical="center"/>
    </xf>
    <xf numFmtId="3" fontId="14" fillId="7" borderId="12" xfId="0" applyNumberFormat="1" applyFont="1" applyFill="1" applyBorder="1" applyAlignment="1">
      <alignment vertical="center"/>
    </xf>
    <xf numFmtId="3" fontId="16" fillId="11" borderId="4" xfId="0" applyNumberFormat="1" applyFont="1" applyFill="1" applyBorder="1" applyAlignment="1">
      <alignment vertical="center"/>
    </xf>
    <xf numFmtId="3" fontId="16" fillId="19" borderId="4" xfId="0" applyNumberFormat="1" applyFont="1" applyFill="1" applyBorder="1" applyAlignment="1">
      <alignment vertical="center"/>
    </xf>
    <xf numFmtId="3" fontId="16" fillId="20" borderId="4" xfId="0" applyNumberFormat="1" applyFont="1" applyFill="1" applyBorder="1" applyAlignment="1">
      <alignment vertical="center"/>
    </xf>
    <xf numFmtId="3" fontId="16" fillId="18" borderId="4" xfId="0" applyNumberFormat="1" applyFont="1" applyFill="1" applyBorder="1" applyAlignment="1">
      <alignment vertical="center"/>
    </xf>
    <xf numFmtId="3" fontId="16" fillId="16" borderId="4" xfId="0" applyNumberFormat="1" applyFont="1" applyFill="1" applyBorder="1" applyAlignment="1">
      <alignment vertical="center"/>
    </xf>
    <xf numFmtId="3" fontId="16" fillId="21" borderId="4" xfId="0" applyNumberFormat="1" applyFont="1" applyFill="1" applyBorder="1" applyAlignment="1">
      <alignment vertical="center"/>
    </xf>
    <xf numFmtId="3" fontId="16" fillId="26" borderId="4" xfId="0" applyNumberFormat="1" applyFont="1" applyFill="1" applyBorder="1" applyAlignment="1">
      <alignment vertical="center"/>
    </xf>
    <xf numFmtId="3" fontId="16" fillId="22" borderId="4" xfId="0" applyNumberFormat="1" applyFont="1" applyFill="1" applyBorder="1" applyAlignment="1">
      <alignment vertical="center"/>
    </xf>
    <xf numFmtId="3" fontId="16" fillId="23" borderId="4" xfId="0" applyNumberFormat="1" applyFont="1" applyFill="1" applyBorder="1" applyAlignment="1">
      <alignment vertical="center"/>
    </xf>
    <xf numFmtId="3" fontId="16" fillId="28" borderId="4" xfId="0" applyNumberFormat="1" applyFont="1" applyFill="1" applyBorder="1" applyAlignment="1">
      <alignment vertical="center"/>
    </xf>
    <xf numFmtId="3" fontId="16" fillId="15" borderId="4" xfId="0" applyNumberFormat="1" applyFont="1" applyFill="1" applyBorder="1" applyAlignment="1">
      <alignment vertical="center"/>
    </xf>
    <xf numFmtId="3" fontId="16" fillId="30" borderId="4" xfId="0" applyNumberFormat="1" applyFont="1" applyFill="1" applyBorder="1" applyAlignment="1">
      <alignment vertical="center"/>
    </xf>
    <xf numFmtId="3" fontId="16" fillId="29" borderId="4" xfId="0" applyNumberFormat="1" applyFont="1" applyFill="1" applyBorder="1" applyAlignment="1">
      <alignment vertical="center"/>
    </xf>
    <xf numFmtId="3" fontId="16" fillId="14" borderId="4" xfId="0" applyNumberFormat="1" applyFont="1" applyFill="1" applyBorder="1" applyAlignment="1">
      <alignment vertical="center"/>
    </xf>
    <xf numFmtId="3" fontId="16" fillId="24" borderId="4" xfId="0" applyNumberFormat="1" applyFont="1" applyFill="1" applyBorder="1" applyAlignment="1">
      <alignment vertical="center"/>
    </xf>
    <xf numFmtId="3" fontId="16" fillId="13" borderId="4" xfId="0" applyNumberFormat="1" applyFont="1" applyFill="1" applyBorder="1" applyAlignment="1">
      <alignment vertical="center"/>
    </xf>
    <xf numFmtId="3" fontId="14" fillId="8" borderId="66" xfId="0" applyNumberFormat="1" applyFont="1" applyFill="1" applyBorder="1" applyAlignment="1">
      <alignment vertical="center"/>
    </xf>
    <xf numFmtId="3" fontId="16" fillId="12" borderId="4" xfId="0" applyNumberFormat="1" applyFont="1" applyFill="1" applyBorder="1" applyAlignment="1">
      <alignment vertical="center"/>
    </xf>
    <xf numFmtId="3" fontId="76" fillId="6" borderId="5" xfId="0" applyNumberFormat="1" applyFont="1" applyFill="1" applyBorder="1" applyAlignment="1">
      <alignment vertical="center"/>
    </xf>
    <xf numFmtId="3" fontId="76" fillId="6" borderId="4" xfId="0" applyNumberFormat="1" applyFont="1" applyFill="1" applyBorder="1" applyAlignment="1">
      <alignment vertical="center"/>
    </xf>
    <xf numFmtId="3" fontId="0" fillId="8" borderId="31" xfId="0" applyNumberFormat="1" applyFill="1" applyBorder="1" applyAlignment="1">
      <alignment vertical="center"/>
    </xf>
    <xf numFmtId="0" fontId="62" fillId="0" borderId="4" xfId="0" applyFont="1" applyBorder="1" applyAlignment="1">
      <alignment vertical="center" wrapText="1"/>
    </xf>
    <xf numFmtId="0" fontId="62" fillId="0" borderId="6" xfId="0" applyFont="1" applyBorder="1" applyAlignment="1">
      <alignment vertical="center" wrapText="1"/>
    </xf>
    <xf numFmtId="3" fontId="0" fillId="24" borderId="11" xfId="0" applyNumberFormat="1" applyFill="1" applyBorder="1" applyAlignment="1">
      <alignment vertical="center"/>
    </xf>
    <xf numFmtId="3" fontId="0" fillId="8" borderId="24" xfId="0" applyNumberFormat="1" applyFill="1" applyBorder="1" applyAlignment="1">
      <alignment vertical="center"/>
    </xf>
    <xf numFmtId="3" fontId="0" fillId="26" borderId="48" xfId="0" applyNumberFormat="1" applyFill="1" applyBorder="1" applyAlignment="1">
      <alignment vertical="center"/>
    </xf>
    <xf numFmtId="3" fontId="0" fillId="26" borderId="25" xfId="0" applyNumberFormat="1" applyFill="1" applyBorder="1" applyAlignment="1">
      <alignment vertical="center"/>
    </xf>
    <xf numFmtId="3" fontId="0" fillId="8" borderId="27" xfId="0" applyNumberFormat="1" applyFill="1" applyBorder="1" applyAlignment="1">
      <alignment vertical="center"/>
    </xf>
    <xf numFmtId="3" fontId="0" fillId="26" borderId="37" xfId="0" applyNumberFormat="1" applyFill="1" applyBorder="1" applyAlignment="1">
      <alignment vertical="center"/>
    </xf>
    <xf numFmtId="3" fontId="0" fillId="26" borderId="28" xfId="0" applyNumberFormat="1" applyFill="1" applyBorder="1" applyAlignment="1">
      <alignment vertical="center"/>
    </xf>
    <xf numFmtId="3" fontId="0" fillId="7" borderId="22" xfId="0" applyNumberFormat="1" applyFill="1" applyBorder="1" applyAlignment="1">
      <alignment vertical="center"/>
    </xf>
    <xf numFmtId="3" fontId="65" fillId="5" borderId="23" xfId="0" applyNumberFormat="1" applyFont="1" applyFill="1" applyBorder="1" applyAlignment="1">
      <alignment vertical="center"/>
    </xf>
    <xf numFmtId="3" fontId="65" fillId="5" borderId="18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3" fontId="63" fillId="7" borderId="32" xfId="0" applyNumberFormat="1" applyFont="1" applyFill="1" applyBorder="1" applyAlignment="1">
      <alignment vertical="center"/>
    </xf>
    <xf numFmtId="3" fontId="67" fillId="7" borderId="22" xfId="0" applyNumberFormat="1" applyFont="1" applyFill="1" applyBorder="1" applyAlignment="1">
      <alignment vertical="center"/>
    </xf>
    <xf numFmtId="3" fontId="0" fillId="7" borderId="32" xfId="0" applyNumberFormat="1" applyFill="1" applyBorder="1" applyAlignment="1">
      <alignment vertical="center"/>
    </xf>
    <xf numFmtId="0" fontId="75" fillId="0" borderId="32" xfId="0" applyFont="1" applyBorder="1" applyAlignment="1">
      <alignment vertical="center"/>
    </xf>
    <xf numFmtId="166" fontId="75" fillId="0" borderId="12" xfId="0" applyNumberFormat="1" applyFont="1" applyBorder="1" applyAlignment="1">
      <alignment vertical="center"/>
    </xf>
    <xf numFmtId="0" fontId="21" fillId="6" borderId="18" xfId="6" applyFont="1" applyFill="1" applyBorder="1" applyAlignment="1" applyProtection="1">
      <alignment horizontal="center" vertical="center" wrapText="1"/>
    </xf>
    <xf numFmtId="0" fontId="61" fillId="6" borderId="17" xfId="0" applyFont="1" applyFill="1" applyBorder="1" applyAlignment="1">
      <alignment vertical="center"/>
    </xf>
    <xf numFmtId="0" fontId="0" fillId="6" borderId="0" xfId="0" applyFont="1" applyFill="1" applyAlignment="1">
      <alignment horizontal="right" vertical="center"/>
    </xf>
    <xf numFmtId="166" fontId="0" fillId="6" borderId="17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14" fillId="6" borderId="1" xfId="0" applyNumberFormat="1" applyFont="1" applyFill="1" applyBorder="1" applyAlignment="1">
      <alignment vertical="center"/>
    </xf>
    <xf numFmtId="0" fontId="61" fillId="0" borderId="5" xfId="0" applyFont="1" applyBorder="1" applyAlignment="1">
      <alignment vertical="center" wrapText="1"/>
    </xf>
    <xf numFmtId="3" fontId="61" fillId="7" borderId="14" xfId="0" applyNumberFormat="1" applyFont="1" applyFill="1" applyBorder="1" applyAlignment="1">
      <alignment vertical="center"/>
    </xf>
    <xf numFmtId="3" fontId="61" fillId="7" borderId="9" xfId="0" applyNumberFormat="1" applyFont="1" applyFill="1" applyBorder="1" applyAlignment="1">
      <alignment vertical="center"/>
    </xf>
    <xf numFmtId="3" fontId="61" fillId="11" borderId="5" xfId="0" applyNumberFormat="1" applyFont="1" applyFill="1" applyBorder="1" applyAlignment="1">
      <alignment vertical="center"/>
    </xf>
    <xf numFmtId="3" fontId="61" fillId="19" borderId="5" xfId="0" applyNumberFormat="1" applyFont="1" applyFill="1" applyBorder="1" applyAlignment="1">
      <alignment vertical="center"/>
    </xf>
    <xf numFmtId="3" fontId="61" fillId="20" borderId="5" xfId="0" applyNumberFormat="1" applyFont="1" applyFill="1" applyBorder="1" applyAlignment="1">
      <alignment vertical="center"/>
    </xf>
    <xf numFmtId="3" fontId="61" fillId="18" borderId="5" xfId="0" applyNumberFormat="1" applyFont="1" applyFill="1" applyBorder="1" applyAlignment="1">
      <alignment vertical="center"/>
    </xf>
    <xf numFmtId="3" fontId="61" fillId="16" borderId="5" xfId="0" applyNumberFormat="1" applyFont="1" applyFill="1" applyBorder="1" applyAlignment="1">
      <alignment vertical="center"/>
    </xf>
    <xf numFmtId="3" fontId="61" fillId="21" borderId="5" xfId="0" applyNumberFormat="1" applyFont="1" applyFill="1" applyBorder="1" applyAlignment="1">
      <alignment vertical="center"/>
    </xf>
    <xf numFmtId="3" fontId="61" fillId="26" borderId="5" xfId="0" applyNumberFormat="1" applyFont="1" applyFill="1" applyBorder="1" applyAlignment="1">
      <alignment vertical="center"/>
    </xf>
    <xf numFmtId="3" fontId="61" fillId="22" borderId="5" xfId="0" applyNumberFormat="1" applyFont="1" applyFill="1" applyBorder="1" applyAlignment="1">
      <alignment vertical="center"/>
    </xf>
    <xf numFmtId="3" fontId="61" fillId="23" borderId="5" xfId="0" applyNumberFormat="1" applyFont="1" applyFill="1" applyBorder="1" applyAlignment="1">
      <alignment vertical="center"/>
    </xf>
    <xf numFmtId="3" fontId="61" fillId="28" borderId="5" xfId="0" applyNumberFormat="1" applyFont="1" applyFill="1" applyBorder="1" applyAlignment="1">
      <alignment vertical="center"/>
    </xf>
    <xf numFmtId="3" fontId="61" fillId="15" borderId="5" xfId="0" applyNumberFormat="1" applyFont="1" applyFill="1" applyBorder="1" applyAlignment="1">
      <alignment vertical="center"/>
    </xf>
    <xf numFmtId="3" fontId="61" fillId="30" borderId="5" xfId="0" applyNumberFormat="1" applyFont="1" applyFill="1" applyBorder="1" applyAlignment="1">
      <alignment vertical="center"/>
    </xf>
    <xf numFmtId="3" fontId="61" fillId="29" borderId="5" xfId="0" applyNumberFormat="1" applyFont="1" applyFill="1" applyBorder="1" applyAlignment="1">
      <alignment vertical="center"/>
    </xf>
    <xf numFmtId="3" fontId="61" fillId="14" borderId="5" xfId="0" applyNumberFormat="1" applyFont="1" applyFill="1" applyBorder="1" applyAlignment="1">
      <alignment vertical="center"/>
    </xf>
    <xf numFmtId="3" fontId="61" fillId="24" borderId="5" xfId="0" applyNumberFormat="1" applyFont="1" applyFill="1" applyBorder="1" applyAlignment="1">
      <alignment vertical="center"/>
    </xf>
    <xf numFmtId="3" fontId="61" fillId="13" borderId="5" xfId="0" applyNumberFormat="1" applyFont="1" applyFill="1" applyBorder="1" applyAlignment="1">
      <alignment vertical="center"/>
    </xf>
    <xf numFmtId="3" fontId="61" fillId="8" borderId="67" xfId="0" applyNumberFormat="1" applyFont="1" applyFill="1" applyBorder="1" applyAlignment="1">
      <alignment vertical="center"/>
    </xf>
    <xf numFmtId="3" fontId="61" fillId="8" borderId="9" xfId="0" applyNumberFormat="1" applyFont="1" applyFill="1" applyBorder="1" applyAlignment="1">
      <alignment vertical="center"/>
    </xf>
    <xf numFmtId="3" fontId="61" fillId="12" borderId="5" xfId="0" applyNumberFormat="1" applyFont="1" applyFill="1" applyBorder="1" applyAlignment="1">
      <alignment vertical="center"/>
    </xf>
    <xf numFmtId="3" fontId="17" fillId="11" borderId="4" xfId="0" applyNumberFormat="1" applyFont="1" applyFill="1" applyBorder="1" applyAlignment="1">
      <alignment vertical="center"/>
    </xf>
    <xf numFmtId="3" fontId="17" fillId="19" borderId="4" xfId="0" applyNumberFormat="1" applyFont="1" applyFill="1" applyBorder="1" applyAlignment="1">
      <alignment vertical="center"/>
    </xf>
    <xf numFmtId="3" fontId="17" fillId="20" borderId="4" xfId="0" applyNumberFormat="1" applyFont="1" applyFill="1" applyBorder="1" applyAlignment="1">
      <alignment vertical="center"/>
    </xf>
    <xf numFmtId="3" fontId="17" fillId="18" borderId="4" xfId="0" applyNumberFormat="1" applyFont="1" applyFill="1" applyBorder="1" applyAlignment="1">
      <alignment vertical="center"/>
    </xf>
    <xf numFmtId="3" fontId="17" fillId="16" borderId="4" xfId="0" applyNumberFormat="1" applyFont="1" applyFill="1" applyBorder="1" applyAlignment="1">
      <alignment vertical="center"/>
    </xf>
    <xf numFmtId="3" fontId="17" fillId="21" borderId="4" xfId="0" applyNumberFormat="1" applyFont="1" applyFill="1" applyBorder="1" applyAlignment="1">
      <alignment vertical="center"/>
    </xf>
    <xf numFmtId="3" fontId="17" fillId="26" borderId="4" xfId="0" applyNumberFormat="1" applyFont="1" applyFill="1" applyBorder="1" applyAlignment="1">
      <alignment vertical="center"/>
    </xf>
    <xf numFmtId="3" fontId="17" fillId="22" borderId="4" xfId="0" applyNumberFormat="1" applyFont="1" applyFill="1" applyBorder="1" applyAlignment="1">
      <alignment vertical="center"/>
    </xf>
    <xf numFmtId="3" fontId="17" fillId="23" borderId="4" xfId="0" applyNumberFormat="1" applyFont="1" applyFill="1" applyBorder="1" applyAlignment="1">
      <alignment vertical="center"/>
    </xf>
    <xf numFmtId="3" fontId="17" fillId="28" borderId="4" xfId="0" applyNumberFormat="1" applyFont="1" applyFill="1" applyBorder="1" applyAlignment="1">
      <alignment vertical="center"/>
    </xf>
    <xf numFmtId="3" fontId="17" fillId="15" borderId="4" xfId="0" applyNumberFormat="1" applyFont="1" applyFill="1" applyBorder="1" applyAlignment="1">
      <alignment vertical="center"/>
    </xf>
    <xf numFmtId="3" fontId="17" fillId="30" borderId="4" xfId="0" applyNumberFormat="1" applyFont="1" applyFill="1" applyBorder="1" applyAlignment="1">
      <alignment vertical="center"/>
    </xf>
    <xf numFmtId="3" fontId="17" fillId="29" borderId="4" xfId="0" applyNumberFormat="1" applyFont="1" applyFill="1" applyBorder="1" applyAlignment="1">
      <alignment vertical="center"/>
    </xf>
    <xf numFmtId="3" fontId="17" fillId="24" borderId="4" xfId="0" applyNumberFormat="1" applyFont="1" applyFill="1" applyBorder="1" applyAlignment="1">
      <alignment vertical="center"/>
    </xf>
    <xf numFmtId="3" fontId="17" fillId="13" borderId="4" xfId="0" applyNumberFormat="1" applyFont="1" applyFill="1" applyBorder="1" applyAlignment="1">
      <alignment vertical="center"/>
    </xf>
    <xf numFmtId="3" fontId="17" fillId="12" borderId="4" xfId="0" applyNumberFormat="1" applyFont="1" applyFill="1" applyBorder="1" applyAlignment="1">
      <alignment vertical="center"/>
    </xf>
    <xf numFmtId="0" fontId="67" fillId="0" borderId="5" xfId="0" applyFont="1" applyBorder="1" applyAlignment="1">
      <alignment vertical="center" wrapText="1"/>
    </xf>
    <xf numFmtId="3" fontId="67" fillId="7" borderId="14" xfId="0" applyNumberFormat="1" applyFont="1" applyFill="1" applyBorder="1" applyAlignment="1">
      <alignment vertical="center"/>
    </xf>
    <xf numFmtId="3" fontId="18" fillId="11" borderId="5" xfId="0" applyNumberFormat="1" applyFont="1" applyFill="1" applyBorder="1" applyAlignment="1">
      <alignment vertical="center"/>
    </xf>
    <xf numFmtId="3" fontId="18" fillId="19" borderId="5" xfId="0" applyNumberFormat="1" applyFont="1" applyFill="1" applyBorder="1" applyAlignment="1">
      <alignment vertical="center"/>
    </xf>
    <xf numFmtId="3" fontId="18" fillId="20" borderId="5" xfId="0" applyNumberFormat="1" applyFont="1" applyFill="1" applyBorder="1" applyAlignment="1">
      <alignment vertical="center"/>
    </xf>
    <xf numFmtId="3" fontId="18" fillId="18" borderId="5" xfId="0" applyNumberFormat="1" applyFont="1" applyFill="1" applyBorder="1" applyAlignment="1">
      <alignment vertical="center"/>
    </xf>
    <xf numFmtId="3" fontId="18" fillId="16" borderId="5" xfId="0" applyNumberFormat="1" applyFont="1" applyFill="1" applyBorder="1" applyAlignment="1">
      <alignment vertical="center"/>
    </xf>
    <xf numFmtId="3" fontId="18" fillId="21" borderId="5" xfId="0" applyNumberFormat="1" applyFont="1" applyFill="1" applyBorder="1" applyAlignment="1">
      <alignment vertical="center"/>
    </xf>
    <xf numFmtId="3" fontId="18" fillId="26" borderId="5" xfId="0" applyNumberFormat="1" applyFont="1" applyFill="1" applyBorder="1" applyAlignment="1">
      <alignment vertical="center"/>
    </xf>
    <xf numFmtId="3" fontId="18" fillId="22" borderId="5" xfId="0" applyNumberFormat="1" applyFont="1" applyFill="1" applyBorder="1" applyAlignment="1">
      <alignment vertical="center"/>
    </xf>
    <xf numFmtId="3" fontId="18" fillId="23" borderId="5" xfId="0" applyNumberFormat="1" applyFont="1" applyFill="1" applyBorder="1" applyAlignment="1">
      <alignment vertical="center"/>
    </xf>
    <xf numFmtId="3" fontId="18" fillId="28" borderId="5" xfId="0" applyNumberFormat="1" applyFont="1" applyFill="1" applyBorder="1" applyAlignment="1">
      <alignment vertical="center"/>
    </xf>
    <xf numFmtId="3" fontId="18" fillId="15" borderId="5" xfId="0" applyNumberFormat="1" applyFont="1" applyFill="1" applyBorder="1" applyAlignment="1">
      <alignment vertical="center"/>
    </xf>
    <xf numFmtId="3" fontId="18" fillId="30" borderId="5" xfId="0" applyNumberFormat="1" applyFont="1" applyFill="1" applyBorder="1" applyAlignment="1">
      <alignment vertical="center"/>
    </xf>
    <xf numFmtId="3" fontId="18" fillId="29" borderId="5" xfId="0" applyNumberFormat="1" applyFont="1" applyFill="1" applyBorder="1" applyAlignment="1">
      <alignment vertical="center"/>
    </xf>
    <xf numFmtId="3" fontId="18" fillId="14" borderId="5" xfId="0" applyNumberFormat="1" applyFont="1" applyFill="1" applyBorder="1" applyAlignment="1">
      <alignment vertical="center"/>
    </xf>
    <xf numFmtId="3" fontId="18" fillId="24" borderId="5" xfId="0" applyNumberFormat="1" applyFont="1" applyFill="1" applyBorder="1" applyAlignment="1">
      <alignment vertical="center"/>
    </xf>
    <xf numFmtId="3" fontId="18" fillId="13" borderId="5" xfId="0" applyNumberFormat="1" applyFont="1" applyFill="1" applyBorder="1" applyAlignment="1">
      <alignment vertical="center"/>
    </xf>
    <xf numFmtId="3" fontId="67" fillId="8" borderId="9" xfId="0" applyNumberFormat="1" applyFont="1" applyFill="1" applyBorder="1" applyAlignment="1">
      <alignment vertical="center"/>
    </xf>
    <xf numFmtId="3" fontId="18" fillId="12" borderId="5" xfId="0" applyNumberFormat="1" applyFont="1" applyFill="1" applyBorder="1" applyAlignment="1">
      <alignment vertical="center"/>
    </xf>
    <xf numFmtId="3" fontId="16" fillId="8" borderId="37" xfId="0" applyNumberFormat="1" applyFont="1" applyFill="1" applyBorder="1" applyAlignment="1">
      <alignment vertical="center"/>
    </xf>
    <xf numFmtId="3" fontId="16" fillId="8" borderId="66" xfId="0" applyNumberFormat="1" applyFont="1" applyFill="1" applyBorder="1" applyAlignment="1">
      <alignment vertical="center"/>
    </xf>
    <xf numFmtId="3" fontId="63" fillId="7" borderId="12" xfId="0" applyNumberFormat="1" applyFont="1" applyFill="1" applyBorder="1" applyAlignment="1">
      <alignment vertical="center"/>
    </xf>
    <xf numFmtId="3" fontId="63" fillId="11" borderId="4" xfId="0" applyNumberFormat="1" applyFont="1" applyFill="1" applyBorder="1" applyAlignment="1">
      <alignment vertical="center"/>
    </xf>
    <xf numFmtId="3" fontId="63" fillId="19" borderId="4" xfId="0" applyNumberFormat="1" applyFont="1" applyFill="1" applyBorder="1" applyAlignment="1">
      <alignment vertical="center"/>
    </xf>
    <xf numFmtId="3" fontId="63" fillId="20" borderId="4" xfId="0" applyNumberFormat="1" applyFont="1" applyFill="1" applyBorder="1" applyAlignment="1">
      <alignment vertical="center"/>
    </xf>
    <xf numFmtId="3" fontId="63" fillId="18" borderId="4" xfId="0" applyNumberFormat="1" applyFont="1" applyFill="1" applyBorder="1" applyAlignment="1">
      <alignment vertical="center"/>
    </xf>
    <xf numFmtId="3" fontId="63" fillId="16" borderId="4" xfId="0" applyNumberFormat="1" applyFont="1" applyFill="1" applyBorder="1" applyAlignment="1">
      <alignment vertical="center"/>
    </xf>
    <xf numFmtId="3" fontId="63" fillId="21" borderId="4" xfId="0" applyNumberFormat="1" applyFont="1" applyFill="1" applyBorder="1" applyAlignment="1">
      <alignment vertical="center"/>
    </xf>
    <xf numFmtId="3" fontId="63" fillId="26" borderId="4" xfId="0" applyNumberFormat="1" applyFont="1" applyFill="1" applyBorder="1" applyAlignment="1">
      <alignment vertical="center"/>
    </xf>
    <xf numFmtId="3" fontId="63" fillId="22" borderId="4" xfId="0" applyNumberFormat="1" applyFont="1" applyFill="1" applyBorder="1" applyAlignment="1">
      <alignment vertical="center"/>
    </xf>
    <xf numFmtId="3" fontId="63" fillId="23" borderId="4" xfId="0" applyNumberFormat="1" applyFont="1" applyFill="1" applyBorder="1" applyAlignment="1">
      <alignment vertical="center"/>
    </xf>
    <xf numFmtId="3" fontId="63" fillId="28" borderId="4" xfId="0" applyNumberFormat="1" applyFont="1" applyFill="1" applyBorder="1" applyAlignment="1">
      <alignment vertical="center"/>
    </xf>
    <xf numFmtId="3" fontId="63" fillId="15" borderId="4" xfId="0" applyNumberFormat="1" applyFont="1" applyFill="1" applyBorder="1" applyAlignment="1">
      <alignment vertical="center"/>
    </xf>
    <xf numFmtId="3" fontId="63" fillId="30" borderId="4" xfId="0" applyNumberFormat="1" applyFont="1" applyFill="1" applyBorder="1" applyAlignment="1">
      <alignment vertical="center"/>
    </xf>
    <xf numFmtId="3" fontId="63" fillId="29" borderId="4" xfId="0" applyNumberFormat="1" applyFont="1" applyFill="1" applyBorder="1" applyAlignment="1">
      <alignment vertical="center"/>
    </xf>
    <xf numFmtId="3" fontId="63" fillId="14" borderId="4" xfId="0" applyNumberFormat="1" applyFont="1" applyFill="1" applyBorder="1" applyAlignment="1">
      <alignment vertical="center"/>
    </xf>
    <xf numFmtId="3" fontId="63" fillId="24" borderId="4" xfId="0" applyNumberFormat="1" applyFont="1" applyFill="1" applyBorder="1" applyAlignment="1">
      <alignment vertical="center"/>
    </xf>
    <xf numFmtId="3" fontId="63" fillId="13" borderId="4" xfId="0" applyNumberFormat="1" applyFont="1" applyFill="1" applyBorder="1" applyAlignment="1">
      <alignment vertical="center"/>
    </xf>
    <xf numFmtId="3" fontId="63" fillId="8" borderId="66" xfId="0" applyNumberFormat="1" applyFont="1" applyFill="1" applyBorder="1" applyAlignment="1">
      <alignment vertical="center"/>
    </xf>
    <xf numFmtId="3" fontId="63" fillId="12" borderId="4" xfId="0" applyNumberFormat="1" applyFont="1" applyFill="1" applyBorder="1" applyAlignment="1">
      <alignment vertical="center"/>
    </xf>
    <xf numFmtId="3" fontId="14" fillId="6" borderId="6" xfId="0" applyNumberFormat="1" applyFont="1" applyFill="1" applyBorder="1" applyAlignment="1">
      <alignment vertical="center"/>
    </xf>
    <xf numFmtId="165" fontId="20" fillId="0" borderId="0" xfId="6" applyNumberFormat="1" applyFont="1" applyAlignment="1">
      <alignment vertical="center" wrapText="1"/>
    </xf>
    <xf numFmtId="0" fontId="21" fillId="6" borderId="13" xfId="6" applyFont="1" applyFill="1" applyBorder="1" applyAlignment="1">
      <alignment horizontal="center" vertical="center" wrapText="1"/>
    </xf>
    <xf numFmtId="0" fontId="21" fillId="6" borderId="41" xfId="6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1" fillId="6" borderId="15" xfId="6" applyFont="1" applyFill="1" applyBorder="1" applyAlignment="1">
      <alignment horizontal="center" vertical="center" wrapText="1"/>
    </xf>
    <xf numFmtId="0" fontId="21" fillId="6" borderId="52" xfId="6" applyFont="1" applyFill="1" applyBorder="1" applyAlignment="1">
      <alignment horizontal="center" vertical="center"/>
    </xf>
    <xf numFmtId="0" fontId="21" fillId="6" borderId="0" xfId="6" applyFont="1" applyFill="1" applyAlignment="1">
      <alignment vertical="center"/>
    </xf>
    <xf numFmtId="0" fontId="24" fillId="0" borderId="0" xfId="6" applyFont="1" applyAlignment="1">
      <alignment vertical="center"/>
    </xf>
    <xf numFmtId="0" fontId="21" fillId="6" borderId="18" xfId="6" applyFont="1" applyFill="1" applyBorder="1" applyAlignment="1">
      <alignment horizontal="center" vertical="center" wrapText="1"/>
    </xf>
    <xf numFmtId="0" fontId="21" fillId="6" borderId="20" xfId="6" applyFont="1" applyFill="1" applyBorder="1" applyAlignment="1">
      <alignment horizontal="center" vertical="center" wrapText="1"/>
    </xf>
    <xf numFmtId="0" fontId="21" fillId="6" borderId="6" xfId="6" applyFont="1" applyFill="1" applyBorder="1" applyAlignment="1">
      <alignment horizontal="center" vertical="center" wrapText="1"/>
    </xf>
    <xf numFmtId="0" fontId="21" fillId="6" borderId="85" xfId="6" applyFont="1" applyFill="1" applyBorder="1" applyAlignment="1">
      <alignment horizontal="center" vertical="center" wrapText="1"/>
    </xf>
    <xf numFmtId="49" fontId="10" fillId="0" borderId="0" xfId="6" applyNumberFormat="1" applyAlignment="1">
      <alignment horizontal="center" vertical="center" wrapText="1"/>
    </xf>
    <xf numFmtId="0" fontId="10" fillId="0" borderId="0" xfId="6" applyAlignment="1">
      <alignment vertical="center" wrapText="1"/>
    </xf>
    <xf numFmtId="0" fontId="25" fillId="6" borderId="22" xfId="6" applyFont="1" applyFill="1" applyBorder="1" applyAlignment="1">
      <alignment horizontal="center" vertical="center" wrapText="1"/>
    </xf>
    <xf numFmtId="0" fontId="25" fillId="6" borderId="23" xfId="6" applyFont="1" applyFill="1" applyBorder="1" applyAlignment="1">
      <alignment horizontal="center" vertical="center" wrapText="1"/>
    </xf>
    <xf numFmtId="0" fontId="25" fillId="6" borderId="6" xfId="6" applyFont="1" applyFill="1" applyBorder="1" applyAlignment="1">
      <alignment horizontal="center" vertical="center" wrapText="1"/>
    </xf>
    <xf numFmtId="0" fontId="25" fillId="6" borderId="8" xfId="6" applyFont="1" applyFill="1" applyBorder="1" applyAlignment="1">
      <alignment horizontal="center" vertical="center" wrapText="1"/>
    </xf>
    <xf numFmtId="0" fontId="22" fillId="0" borderId="0" xfId="6" applyFont="1" applyAlignment="1">
      <alignment horizontal="center" vertical="center" wrapText="1"/>
    </xf>
    <xf numFmtId="0" fontId="33" fillId="6" borderId="23" xfId="6" applyFont="1" applyFill="1" applyBorder="1" applyAlignment="1">
      <alignment horizontal="left" vertical="center" wrapText="1" indent="1"/>
    </xf>
    <xf numFmtId="165" fontId="33" fillId="6" borderId="6" xfId="6" applyNumberFormat="1" applyFont="1" applyFill="1" applyBorder="1" applyAlignment="1">
      <alignment horizontal="right" vertical="center" wrapText="1" indent="1"/>
    </xf>
    <xf numFmtId="165" fontId="33" fillId="6" borderId="8" xfId="6" applyNumberFormat="1" applyFont="1" applyFill="1" applyBorder="1" applyAlignment="1">
      <alignment horizontal="right" vertical="center" wrapText="1" indent="1"/>
    </xf>
    <xf numFmtId="0" fontId="30" fillId="0" borderId="0" xfId="6" applyFont="1" applyAlignment="1">
      <alignment vertical="center" wrapText="1"/>
    </xf>
    <xf numFmtId="49" fontId="34" fillId="6" borderId="36" xfId="6" applyNumberFormat="1" applyFont="1" applyFill="1" applyBorder="1" applyAlignment="1">
      <alignment horizontal="center" vertical="center" wrapText="1"/>
    </xf>
    <xf numFmtId="0" fontId="27" fillId="6" borderId="41" xfId="12" applyFont="1" applyFill="1" applyBorder="1" applyAlignment="1">
      <alignment horizontal="left" vertical="center" wrapText="1" indent="1"/>
    </xf>
    <xf numFmtId="165" fontId="27" fillId="6" borderId="5" xfId="6" applyNumberFormat="1" applyFont="1" applyFill="1" applyBorder="1" applyAlignment="1" applyProtection="1">
      <alignment horizontal="right" vertical="center" wrapText="1" indent="1"/>
      <protection locked="0"/>
    </xf>
    <xf numFmtId="49" fontId="34" fillId="6" borderId="27" xfId="6" applyNumberFormat="1" applyFont="1" applyFill="1" applyBorder="1" applyAlignment="1">
      <alignment horizontal="center" vertical="center" wrapText="1"/>
    </xf>
    <xf numFmtId="0" fontId="27" fillId="6" borderId="42" xfId="12" applyFont="1" applyFill="1" applyBorder="1" applyAlignment="1">
      <alignment horizontal="left" vertical="center" wrapText="1" indent="1"/>
    </xf>
    <xf numFmtId="165" fontId="27" fillId="6" borderId="2" xfId="6" applyNumberFormat="1" applyFont="1" applyFill="1" applyBorder="1" applyAlignment="1" applyProtection="1">
      <alignment horizontal="right" vertical="center" wrapText="1" indent="1"/>
      <protection locked="0"/>
    </xf>
    <xf numFmtId="0" fontId="27" fillId="6" borderId="45" xfId="12" applyFont="1" applyFill="1" applyBorder="1" applyAlignment="1">
      <alignment horizontal="left" vertical="center" wrapText="1" indent="1"/>
    </xf>
    <xf numFmtId="165" fontId="27" fillId="6" borderId="44" xfId="6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6" applyFont="1" applyAlignment="1">
      <alignment vertical="center" wrapText="1"/>
    </xf>
    <xf numFmtId="165" fontId="27" fillId="6" borderId="3" xfId="6" applyNumberFormat="1" applyFont="1" applyFill="1" applyBorder="1" applyAlignment="1" applyProtection="1">
      <alignment horizontal="right" vertical="center" wrapText="1" indent="1"/>
      <protection locked="0"/>
    </xf>
    <xf numFmtId="0" fontId="27" fillId="6" borderId="26" xfId="12" applyFont="1" applyFill="1" applyBorder="1" applyAlignment="1">
      <alignment horizontal="left" vertical="center" wrapText="1" indent="1"/>
    </xf>
    <xf numFmtId="0" fontId="33" fillId="6" borderId="22" xfId="6" applyFont="1" applyFill="1" applyBorder="1" applyAlignment="1">
      <alignment horizontal="center" vertical="center" wrapText="1"/>
    </xf>
    <xf numFmtId="0" fontId="33" fillId="6" borderId="23" xfId="12" applyFont="1" applyFill="1" applyBorder="1" applyAlignment="1">
      <alignment horizontal="left" vertical="center" wrapText="1" indent="1"/>
    </xf>
    <xf numFmtId="165" fontId="33" fillId="6" borderId="6" xfId="6" applyNumberFormat="1" applyFont="1" applyFill="1" applyBorder="1" applyAlignment="1" applyProtection="1">
      <alignment horizontal="right" vertical="center" wrapText="1" indent="1"/>
      <protection locked="0"/>
    </xf>
    <xf numFmtId="165" fontId="33" fillId="6" borderId="8" xfId="6" applyNumberFormat="1" applyFont="1" applyFill="1" applyBorder="1" applyAlignment="1" applyProtection="1">
      <alignment horizontal="right" vertical="center" wrapText="1" indent="1"/>
      <protection locked="0"/>
    </xf>
    <xf numFmtId="49" fontId="34" fillId="6" borderId="24" xfId="6" applyNumberFormat="1" applyFont="1" applyFill="1" applyBorder="1" applyAlignment="1">
      <alignment horizontal="center" vertical="center" wrapText="1"/>
    </xf>
    <xf numFmtId="0" fontId="34" fillId="6" borderId="26" xfId="12" applyFont="1" applyFill="1" applyBorder="1" applyAlignment="1">
      <alignment horizontal="left" vertical="center" wrapText="1" indent="1"/>
    </xf>
    <xf numFmtId="165" fontId="34" fillId="6" borderId="1" xfId="6" applyNumberFormat="1" applyFont="1" applyFill="1" applyBorder="1" applyAlignment="1" applyProtection="1">
      <alignment horizontal="right" vertical="center" wrapText="1" indent="1"/>
      <protection locked="0"/>
    </xf>
    <xf numFmtId="0" fontId="34" fillId="6" borderId="42" xfId="12" applyFont="1" applyFill="1" applyBorder="1" applyAlignment="1">
      <alignment horizontal="left" vertical="center" wrapText="1" indent="1"/>
    </xf>
    <xf numFmtId="165" fontId="34" fillId="6" borderId="44" xfId="6" applyNumberFormat="1" applyFont="1" applyFill="1" applyBorder="1" applyAlignment="1" applyProtection="1">
      <alignment horizontal="right" vertical="center" wrapText="1" indent="1"/>
      <protection locked="0"/>
    </xf>
    <xf numFmtId="0" fontId="34" fillId="6" borderId="74" xfId="12" quotePrefix="1" applyFont="1" applyFill="1" applyBorder="1" applyAlignment="1">
      <alignment horizontal="left" vertical="center" wrapText="1" indent="1"/>
    </xf>
    <xf numFmtId="165" fontId="34" fillId="6" borderId="4" xfId="6" applyNumberFormat="1" applyFont="1" applyFill="1" applyBorder="1" applyAlignment="1" applyProtection="1">
      <alignment horizontal="right" vertical="center" wrapText="1" indent="1"/>
      <protection locked="0"/>
    </xf>
    <xf numFmtId="165" fontId="34" fillId="6" borderId="12" xfId="6" applyNumberFormat="1" applyFont="1" applyFill="1" applyBorder="1" applyAlignment="1" applyProtection="1">
      <alignment horizontal="right" vertical="center" wrapText="1" indent="1"/>
      <protection locked="0"/>
    </xf>
    <xf numFmtId="0" fontId="34" fillId="6" borderId="74" xfId="12" applyFont="1" applyFill="1" applyBorder="1" applyAlignment="1">
      <alignment horizontal="left" vertical="center" wrapText="1" indent="1"/>
    </xf>
    <xf numFmtId="165" fontId="33" fillId="6" borderId="71" xfId="6" applyNumberFormat="1" applyFont="1" applyFill="1" applyBorder="1" applyAlignment="1" applyProtection="1">
      <alignment horizontal="right" vertical="center" wrapText="1" indent="1"/>
      <protection locked="0"/>
    </xf>
    <xf numFmtId="165" fontId="33" fillId="6" borderId="71" xfId="6" applyNumberFormat="1" applyFont="1" applyFill="1" applyBorder="1" applyAlignment="1">
      <alignment horizontal="right" vertical="center" wrapText="1" indent="1"/>
    </xf>
    <xf numFmtId="0" fontId="32" fillId="6" borderId="22" xfId="6" applyFont="1" applyFill="1" applyBorder="1" applyAlignment="1">
      <alignment horizontal="center" vertical="center" wrapText="1"/>
    </xf>
    <xf numFmtId="0" fontId="78" fillId="6" borderId="47" xfId="6" applyFont="1" applyFill="1" applyBorder="1" applyAlignment="1">
      <alignment horizontal="left" wrapText="1" indent="1"/>
    </xf>
    <xf numFmtId="165" fontId="25" fillId="6" borderId="6" xfId="6" applyNumberFormat="1" applyFont="1" applyFill="1" applyBorder="1" applyAlignment="1">
      <alignment horizontal="right" vertical="center" wrapText="1" indent="1"/>
    </xf>
    <xf numFmtId="165" fontId="25" fillId="6" borderId="71" xfId="6" applyNumberFormat="1" applyFont="1" applyFill="1" applyBorder="1" applyAlignment="1">
      <alignment horizontal="right" vertical="center" wrapText="1" indent="1"/>
    </xf>
    <xf numFmtId="0" fontId="27" fillId="6" borderId="0" xfId="6" applyFont="1" applyFill="1" applyAlignment="1">
      <alignment horizontal="center" vertical="center" wrapText="1"/>
    </xf>
    <xf numFmtId="0" fontId="21" fillId="6" borderId="0" xfId="6" applyFont="1" applyFill="1" applyAlignment="1">
      <alignment horizontal="left" vertical="center" wrapText="1" indent="1"/>
    </xf>
    <xf numFmtId="165" fontId="25" fillId="6" borderId="0" xfId="6" applyNumberFormat="1" applyFont="1" applyFill="1" applyAlignment="1">
      <alignment horizontal="right" vertical="center" wrapText="1" indent="1"/>
    </xf>
    <xf numFmtId="0" fontId="27" fillId="6" borderId="0" xfId="6" applyFont="1" applyFill="1" applyAlignment="1">
      <alignment horizontal="left" vertical="center" wrapText="1"/>
    </xf>
    <xf numFmtId="0" fontId="27" fillId="6" borderId="0" xfId="6" applyFont="1" applyFill="1" applyAlignment="1">
      <alignment vertical="center" wrapText="1"/>
    </xf>
    <xf numFmtId="0" fontId="27" fillId="6" borderId="0" xfId="6" applyFont="1" applyFill="1" applyAlignment="1">
      <alignment horizontal="right" vertical="center" wrapText="1" indent="1"/>
    </xf>
    <xf numFmtId="0" fontId="35" fillId="0" borderId="0" xfId="6" applyFont="1" applyAlignment="1">
      <alignment vertical="center" wrapText="1"/>
    </xf>
    <xf numFmtId="3" fontId="10" fillId="0" borderId="0" xfId="6" applyNumberFormat="1" applyAlignment="1">
      <alignment vertical="center" wrapText="1"/>
    </xf>
    <xf numFmtId="3" fontId="35" fillId="0" borderId="0" xfId="6" applyNumberFormat="1" applyFont="1" applyAlignment="1">
      <alignment vertical="center" wrapText="1"/>
    </xf>
    <xf numFmtId="0" fontId="21" fillId="6" borderId="23" xfId="6" applyFont="1" applyFill="1" applyBorder="1" applyAlignment="1">
      <alignment horizontal="left" vertical="center" wrapText="1" indent="1"/>
    </xf>
    <xf numFmtId="165" fontId="25" fillId="6" borderId="8" xfId="6" applyNumberFormat="1" applyFont="1" applyFill="1" applyBorder="1" applyAlignment="1">
      <alignment horizontal="right" vertical="center" wrapText="1" indent="1"/>
    </xf>
    <xf numFmtId="0" fontId="10" fillId="6" borderId="0" xfId="6" applyFill="1" applyAlignment="1">
      <alignment horizontal="left" vertical="center" wrapText="1"/>
    </xf>
    <xf numFmtId="0" fontId="10" fillId="6" borderId="0" xfId="6" applyFill="1" applyAlignment="1">
      <alignment vertical="center" wrapText="1"/>
    </xf>
    <xf numFmtId="0" fontId="10" fillId="6" borderId="0" xfId="6" applyFill="1" applyAlignment="1">
      <alignment horizontal="right" vertical="center" wrapText="1" indent="1"/>
    </xf>
    <xf numFmtId="0" fontId="24" fillId="6" borderId="22" xfId="6" applyFont="1" applyFill="1" applyBorder="1" applyAlignment="1">
      <alignment horizontal="left" vertical="center"/>
    </xf>
    <xf numFmtId="0" fontId="24" fillId="6" borderId="47" xfId="6" applyFont="1" applyFill="1" applyBorder="1" applyAlignment="1">
      <alignment vertical="center" wrapText="1"/>
    </xf>
    <xf numFmtId="3" fontId="24" fillId="6" borderId="6" xfId="6" applyNumberFormat="1" applyFont="1" applyFill="1" applyBorder="1" applyAlignment="1" applyProtection="1">
      <alignment horizontal="right" vertical="center" wrapText="1" indent="1"/>
      <protection locked="0"/>
    </xf>
    <xf numFmtId="3" fontId="24" fillId="6" borderId="8" xfId="6" applyNumberFormat="1" applyFont="1" applyFill="1" applyBorder="1" applyAlignment="1" applyProtection="1">
      <alignment horizontal="right" vertical="center" wrapText="1" indent="1"/>
      <protection locked="0"/>
    </xf>
    <xf numFmtId="3" fontId="10" fillId="6" borderId="14" xfId="6" applyNumberFormat="1" applyFont="1" applyFill="1" applyBorder="1" applyAlignment="1" applyProtection="1">
      <alignment horizontal="right" vertical="center" wrapText="1" indent="1"/>
    </xf>
    <xf numFmtId="3" fontId="10" fillId="6" borderId="16" xfId="6" applyNumberFormat="1" applyFont="1" applyFill="1" applyBorder="1" applyAlignment="1" applyProtection="1">
      <alignment horizontal="right" vertical="center" wrapText="1" indent="1"/>
    </xf>
    <xf numFmtId="3" fontId="9" fillId="6" borderId="27" xfId="10" applyNumberFormat="1" applyFont="1" applyFill="1" applyBorder="1" applyAlignment="1">
      <alignment horizontal="right"/>
    </xf>
    <xf numFmtId="0" fontId="21" fillId="6" borderId="18" xfId="6" applyFont="1" applyFill="1" applyBorder="1" applyAlignment="1" applyProtection="1">
      <alignment horizontal="center" vertical="center" wrapText="1"/>
    </xf>
    <xf numFmtId="0" fontId="21" fillId="6" borderId="18" xfId="6" applyFont="1" applyFill="1" applyBorder="1" applyAlignment="1">
      <alignment horizontal="center" vertical="center" wrapText="1"/>
    </xf>
    <xf numFmtId="3" fontId="14" fillId="24" borderId="51" xfId="0" applyNumberFormat="1" applyFont="1" applyFill="1" applyBorder="1" applyAlignment="1">
      <alignment horizontal="center" vertical="center" wrapText="1"/>
    </xf>
    <xf numFmtId="3" fontId="14" fillId="24" borderId="53" xfId="0" applyNumberFormat="1" applyFont="1" applyFill="1" applyBorder="1" applyAlignment="1">
      <alignment horizontal="center" vertical="center" wrapText="1"/>
    </xf>
    <xf numFmtId="3" fontId="14" fillId="11" borderId="51" xfId="0" applyNumberFormat="1" applyFont="1" applyFill="1" applyBorder="1" applyAlignment="1">
      <alignment horizontal="center" vertical="center" wrapText="1"/>
    </xf>
    <xf numFmtId="3" fontId="14" fillId="11" borderId="53" xfId="0" applyNumberFormat="1" applyFont="1" applyFill="1" applyBorder="1" applyAlignment="1">
      <alignment horizontal="center" vertical="center" wrapText="1"/>
    </xf>
    <xf numFmtId="3" fontId="14" fillId="23" borderId="51" xfId="0" applyNumberFormat="1" applyFont="1" applyFill="1" applyBorder="1" applyAlignment="1">
      <alignment horizontal="center" vertical="center" wrapText="1"/>
    </xf>
    <xf numFmtId="3" fontId="14" fillId="23" borderId="53" xfId="0" applyNumberFormat="1" applyFont="1" applyFill="1" applyBorder="1" applyAlignment="1">
      <alignment horizontal="center" vertical="center" wrapText="1"/>
    </xf>
    <xf numFmtId="3" fontId="14" fillId="28" borderId="51" xfId="0" applyNumberFormat="1" applyFont="1" applyFill="1" applyBorder="1" applyAlignment="1">
      <alignment horizontal="center" vertical="center" wrapText="1"/>
    </xf>
    <xf numFmtId="3" fontId="14" fillId="28" borderId="53" xfId="0" applyNumberFormat="1" applyFont="1" applyFill="1" applyBorder="1" applyAlignment="1">
      <alignment horizontal="center" vertical="center" wrapText="1"/>
    </xf>
    <xf numFmtId="3" fontId="14" fillId="29" borderId="51" xfId="0" applyNumberFormat="1" applyFont="1" applyFill="1" applyBorder="1" applyAlignment="1">
      <alignment horizontal="center" vertical="center" wrapText="1"/>
    </xf>
    <xf numFmtId="3" fontId="14" fillId="29" borderId="53" xfId="0" applyNumberFormat="1" applyFont="1" applyFill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3" fontId="15" fillId="0" borderId="71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3" fontId="14" fillId="8" borderId="0" xfId="0" applyNumberFormat="1" applyFont="1" applyFill="1" applyBorder="1" applyAlignment="1">
      <alignment horizontal="center" vertical="center" wrapText="1"/>
    </xf>
    <xf numFmtId="3" fontId="14" fillId="8" borderId="72" xfId="0" applyNumberFormat="1" applyFont="1" applyFill="1" applyBorder="1" applyAlignment="1">
      <alignment horizontal="center" vertical="center" wrapText="1"/>
    </xf>
    <xf numFmtId="3" fontId="14" fillId="6" borderId="44" xfId="0" applyNumberFormat="1" applyFont="1" applyFill="1" applyBorder="1" applyAlignment="1">
      <alignment horizontal="center" vertical="center"/>
    </xf>
    <xf numFmtId="3" fontId="14" fillId="6" borderId="53" xfId="0" applyNumberFormat="1" applyFont="1" applyFill="1" applyBorder="1" applyAlignment="1">
      <alignment horizontal="center" vertical="center"/>
    </xf>
    <xf numFmtId="3" fontId="14" fillId="13" borderId="51" xfId="0" applyNumberFormat="1" applyFont="1" applyFill="1" applyBorder="1" applyAlignment="1">
      <alignment horizontal="center" vertical="center" wrapText="1"/>
    </xf>
    <xf numFmtId="3" fontId="14" fillId="13" borderId="53" xfId="0" applyNumberFormat="1" applyFont="1" applyFill="1" applyBorder="1" applyAlignment="1">
      <alignment horizontal="center" vertical="center" wrapText="1"/>
    </xf>
    <xf numFmtId="3" fontId="14" fillId="14" borderId="51" xfId="0" applyNumberFormat="1" applyFont="1" applyFill="1" applyBorder="1" applyAlignment="1">
      <alignment horizontal="center" vertical="center" wrapText="1"/>
    </xf>
    <xf numFmtId="3" fontId="14" fillId="14" borderId="53" xfId="0" applyNumberFormat="1" applyFont="1" applyFill="1" applyBorder="1" applyAlignment="1">
      <alignment horizontal="center" vertical="center" wrapText="1"/>
    </xf>
    <xf numFmtId="3" fontId="14" fillId="7" borderId="13" xfId="0" applyNumberFormat="1" applyFont="1" applyFill="1" applyBorder="1" applyAlignment="1">
      <alignment horizontal="center" vertical="center" wrapText="1"/>
    </xf>
    <xf numFmtId="3" fontId="14" fillId="7" borderId="70" xfId="0" applyNumberFormat="1" applyFont="1" applyFill="1" applyBorder="1" applyAlignment="1">
      <alignment horizontal="center" vertical="center" wrapText="1"/>
    </xf>
    <xf numFmtId="3" fontId="14" fillId="7" borderId="69" xfId="0" applyNumberFormat="1" applyFont="1" applyFill="1" applyBorder="1" applyAlignment="1">
      <alignment horizontal="center" vertical="center" wrapText="1"/>
    </xf>
    <xf numFmtId="3" fontId="14" fillId="12" borderId="51" xfId="0" applyNumberFormat="1" applyFont="1" applyFill="1" applyBorder="1" applyAlignment="1">
      <alignment horizontal="center" vertical="center" wrapText="1"/>
    </xf>
    <xf numFmtId="3" fontId="14" fillId="12" borderId="53" xfId="0" applyNumberFormat="1" applyFont="1" applyFill="1" applyBorder="1" applyAlignment="1">
      <alignment horizontal="center" vertical="center" wrapText="1"/>
    </xf>
    <xf numFmtId="3" fontId="14" fillId="15" borderId="51" xfId="0" applyNumberFormat="1" applyFont="1" applyFill="1" applyBorder="1" applyAlignment="1">
      <alignment horizontal="center" vertical="center" wrapText="1"/>
    </xf>
    <xf numFmtId="3" fontId="14" fillId="15" borderId="53" xfId="0" applyNumberFormat="1" applyFont="1" applyFill="1" applyBorder="1" applyAlignment="1">
      <alignment horizontal="center" vertical="center" wrapText="1"/>
    </xf>
    <xf numFmtId="3" fontId="14" fillId="30" borderId="51" xfId="0" applyNumberFormat="1" applyFont="1" applyFill="1" applyBorder="1" applyAlignment="1">
      <alignment horizontal="center" vertical="center" wrapText="1"/>
    </xf>
    <xf numFmtId="3" fontId="14" fillId="30" borderId="53" xfId="0" applyNumberFormat="1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3" fontId="14" fillId="19" borderId="51" xfId="0" applyNumberFormat="1" applyFont="1" applyFill="1" applyBorder="1" applyAlignment="1">
      <alignment horizontal="center" vertical="center" wrapText="1"/>
    </xf>
    <xf numFmtId="3" fontId="14" fillId="19" borderId="53" xfId="0" applyNumberFormat="1" applyFont="1" applyFill="1" applyBorder="1" applyAlignment="1">
      <alignment horizontal="center" vertical="center" wrapText="1"/>
    </xf>
    <xf numFmtId="3" fontId="14" fillId="20" borderId="51" xfId="0" applyNumberFormat="1" applyFont="1" applyFill="1" applyBorder="1" applyAlignment="1">
      <alignment horizontal="center" vertical="center" wrapText="1"/>
    </xf>
    <xf numFmtId="3" fontId="14" fillId="20" borderId="53" xfId="0" applyNumberFormat="1" applyFont="1" applyFill="1" applyBorder="1" applyAlignment="1">
      <alignment horizontal="center" vertical="center" wrapText="1"/>
    </xf>
    <xf numFmtId="3" fontId="14" fillId="18" borderId="51" xfId="0" applyNumberFormat="1" applyFont="1" applyFill="1" applyBorder="1" applyAlignment="1">
      <alignment horizontal="center" vertical="center" wrapText="1"/>
    </xf>
    <xf numFmtId="3" fontId="14" fillId="18" borderId="53" xfId="0" applyNumberFormat="1" applyFont="1" applyFill="1" applyBorder="1" applyAlignment="1">
      <alignment horizontal="center" vertical="center" wrapText="1"/>
    </xf>
    <xf numFmtId="3" fontId="14" fillId="26" borderId="51" xfId="0" applyNumberFormat="1" applyFont="1" applyFill="1" applyBorder="1" applyAlignment="1">
      <alignment horizontal="center" vertical="center" wrapText="1"/>
    </xf>
    <xf numFmtId="3" fontId="14" fillId="26" borderId="53" xfId="0" applyNumberFormat="1" applyFont="1" applyFill="1" applyBorder="1" applyAlignment="1">
      <alignment horizontal="center" vertical="center" wrapText="1"/>
    </xf>
    <xf numFmtId="3" fontId="14" fillId="22" borderId="51" xfId="0" applyNumberFormat="1" applyFont="1" applyFill="1" applyBorder="1" applyAlignment="1">
      <alignment horizontal="center" vertical="center" wrapText="1"/>
    </xf>
    <xf numFmtId="3" fontId="14" fillId="22" borderId="53" xfId="0" applyNumberFormat="1" applyFont="1" applyFill="1" applyBorder="1" applyAlignment="1">
      <alignment horizontal="center" vertical="center" wrapText="1"/>
    </xf>
    <xf numFmtId="3" fontId="14" fillId="16" borderId="51" xfId="0" applyNumberFormat="1" applyFont="1" applyFill="1" applyBorder="1" applyAlignment="1">
      <alignment horizontal="center" vertical="center" wrapText="1"/>
    </xf>
    <xf numFmtId="3" fontId="14" fillId="16" borderId="53" xfId="0" applyNumberFormat="1" applyFont="1" applyFill="1" applyBorder="1" applyAlignment="1">
      <alignment horizontal="center" vertical="center" wrapText="1"/>
    </xf>
    <xf numFmtId="3" fontId="14" fillId="21" borderId="51" xfId="0" applyNumberFormat="1" applyFont="1" applyFill="1" applyBorder="1" applyAlignment="1">
      <alignment horizontal="center" vertical="center" wrapText="1"/>
    </xf>
    <xf numFmtId="3" fontId="14" fillId="21" borderId="53" xfId="0" applyNumberFormat="1" applyFont="1" applyFill="1" applyBorder="1" applyAlignment="1">
      <alignment horizontal="center" vertical="center" wrapText="1"/>
    </xf>
    <xf numFmtId="3" fontId="14" fillId="6" borderId="51" xfId="0" applyNumberFormat="1" applyFont="1" applyFill="1" applyBorder="1" applyAlignment="1">
      <alignment horizontal="center" vertical="center"/>
    </xf>
    <xf numFmtId="3" fontId="14" fillId="8" borderId="78" xfId="0" applyNumberFormat="1" applyFont="1" applyFill="1" applyBorder="1" applyAlignment="1">
      <alignment horizontal="center" vertical="center" wrapText="1"/>
    </xf>
    <xf numFmtId="3" fontId="14" fillId="8" borderId="85" xfId="0" applyNumberFormat="1" applyFont="1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 vertical="center"/>
    </xf>
    <xf numFmtId="0" fontId="0" fillId="14" borderId="47" xfId="0" applyFill="1" applyBorder="1" applyAlignment="1">
      <alignment horizontal="center" vertical="center"/>
    </xf>
    <xf numFmtId="0" fontId="0" fillId="14" borderId="71" xfId="0" applyFill="1" applyBorder="1" applyAlignment="1">
      <alignment horizontal="center" vertical="center"/>
    </xf>
    <xf numFmtId="3" fontId="14" fillId="7" borderId="17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72" xfId="0" applyFill="1" applyBorder="1" applyAlignment="1">
      <alignment horizontal="center" vertical="center" wrapText="1"/>
    </xf>
    <xf numFmtId="3" fontId="14" fillId="8" borderId="0" xfId="0" applyNumberFormat="1" applyFont="1" applyFill="1" applyAlignment="1">
      <alignment horizontal="center" vertical="center" wrapText="1"/>
    </xf>
    <xf numFmtId="3" fontId="14" fillId="25" borderId="44" xfId="0" applyNumberFormat="1" applyFont="1" applyFill="1" applyBorder="1" applyAlignment="1">
      <alignment horizontal="center" vertical="center" wrapText="1"/>
    </xf>
    <xf numFmtId="3" fontId="14" fillId="25" borderId="53" xfId="0" applyNumberFormat="1" applyFont="1" applyFill="1" applyBorder="1" applyAlignment="1">
      <alignment horizontal="center" vertical="center" wrapText="1"/>
    </xf>
    <xf numFmtId="3" fontId="14" fillId="5" borderId="44" xfId="0" applyNumberFormat="1" applyFont="1" applyFill="1" applyBorder="1" applyAlignment="1">
      <alignment horizontal="center" vertical="center" wrapText="1"/>
    </xf>
    <xf numFmtId="3" fontId="14" fillId="5" borderId="53" xfId="0" applyNumberFormat="1" applyFont="1" applyFill="1" applyBorder="1" applyAlignment="1">
      <alignment horizontal="center" vertical="center" wrapText="1"/>
    </xf>
    <xf numFmtId="3" fontId="14" fillId="26" borderId="0" xfId="0" applyNumberFormat="1" applyFont="1" applyFill="1" applyAlignment="1">
      <alignment horizontal="center" vertical="center" wrapText="1"/>
    </xf>
    <xf numFmtId="3" fontId="14" fillId="26" borderId="72" xfId="0" applyNumberFormat="1" applyFont="1" applyFill="1" applyBorder="1" applyAlignment="1">
      <alignment horizontal="center" vertical="center" wrapText="1"/>
    </xf>
    <xf numFmtId="3" fontId="14" fillId="14" borderId="44" xfId="0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0" fillId="0" borderId="75" xfId="0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61" fillId="0" borderId="15" xfId="0" applyFont="1" applyBorder="1" applyAlignment="1">
      <alignment horizontal="left" vertical="center"/>
    </xf>
    <xf numFmtId="0" fontId="61" fillId="0" borderId="77" xfId="0" applyFont="1" applyBorder="1" applyAlignment="1">
      <alignment horizontal="left" vertical="center"/>
    </xf>
    <xf numFmtId="0" fontId="61" fillId="0" borderId="58" xfId="0" applyFont="1" applyBorder="1" applyAlignment="1">
      <alignment horizontal="left" vertical="center"/>
    </xf>
    <xf numFmtId="0" fontId="61" fillId="17" borderId="36" xfId="0" applyFont="1" applyFill="1" applyBorder="1" applyAlignment="1">
      <alignment horizontal="center" vertical="center"/>
    </xf>
    <xf numFmtId="0" fontId="61" fillId="17" borderId="14" xfId="0" applyFont="1" applyFill="1" applyBorder="1" applyAlignment="1">
      <alignment horizontal="center" vertical="center"/>
    </xf>
    <xf numFmtId="0" fontId="61" fillId="17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3" fontId="14" fillId="7" borderId="86" xfId="0" applyNumberFormat="1" applyFont="1" applyFill="1" applyBorder="1" applyAlignment="1">
      <alignment horizontal="center" vertical="center" wrapText="1"/>
    </xf>
    <xf numFmtId="0" fontId="0" fillId="7" borderId="78" xfId="0" applyFill="1" applyBorder="1" applyAlignment="1">
      <alignment horizontal="center" vertical="center" wrapText="1"/>
    </xf>
    <xf numFmtId="0" fontId="0" fillId="7" borderId="85" xfId="0" applyFill="1" applyBorder="1" applyAlignment="1">
      <alignment horizontal="center" vertical="center" wrapText="1"/>
    </xf>
    <xf numFmtId="3" fontId="14" fillId="25" borderId="51" xfId="0" applyNumberFormat="1" applyFont="1" applyFill="1" applyBorder="1" applyAlignment="1">
      <alignment horizontal="center" vertical="center" wrapText="1"/>
    </xf>
    <xf numFmtId="3" fontId="14" fillId="5" borderId="51" xfId="0" applyNumberFormat="1" applyFont="1" applyFill="1" applyBorder="1" applyAlignment="1">
      <alignment horizontal="center" vertical="center" wrapText="1"/>
    </xf>
    <xf numFmtId="3" fontId="14" fillId="26" borderId="78" xfId="0" applyNumberFormat="1" applyFont="1" applyFill="1" applyBorder="1" applyAlignment="1">
      <alignment horizontal="center" vertical="center" wrapText="1"/>
    </xf>
    <xf numFmtId="3" fontId="14" fillId="26" borderId="85" xfId="0" applyNumberFormat="1" applyFont="1" applyFill="1" applyBorder="1" applyAlignment="1">
      <alignment horizontal="center" vertical="center" wrapText="1"/>
    </xf>
    <xf numFmtId="0" fontId="21" fillId="6" borderId="18" xfId="6" applyFont="1" applyFill="1" applyBorder="1" applyAlignment="1" applyProtection="1">
      <alignment horizontal="center" vertical="center" wrapText="1"/>
    </xf>
    <xf numFmtId="0" fontId="21" fillId="6" borderId="47" xfId="6" applyFont="1" applyFill="1" applyBorder="1" applyAlignment="1" applyProtection="1">
      <alignment horizontal="center" vertical="center" wrapText="1"/>
    </xf>
    <xf numFmtId="0" fontId="21" fillId="6" borderId="71" xfId="6" applyFont="1" applyFill="1" applyBorder="1" applyAlignment="1" applyProtection="1">
      <alignment horizontal="center" vertical="center" wrapText="1"/>
    </xf>
    <xf numFmtId="0" fontId="19" fillId="6" borderId="75" xfId="6" applyFont="1" applyFill="1" applyBorder="1" applyAlignment="1" applyProtection="1">
      <alignment horizontal="right" vertical="top"/>
      <protection locked="0"/>
    </xf>
    <xf numFmtId="0" fontId="21" fillId="6" borderId="41" xfId="6" quotePrefix="1" applyFont="1" applyFill="1" applyBorder="1" applyAlignment="1" applyProtection="1">
      <alignment horizontal="center" vertical="center"/>
    </xf>
    <xf numFmtId="0" fontId="21" fillId="6" borderId="69" xfId="6" quotePrefix="1" applyFont="1" applyFill="1" applyBorder="1" applyAlignment="1" applyProtection="1">
      <alignment horizontal="center" vertical="center"/>
    </xf>
    <xf numFmtId="0" fontId="21" fillId="6" borderId="52" xfId="6" applyFont="1" applyFill="1" applyBorder="1" applyAlignment="1" applyProtection="1">
      <alignment horizontal="center" vertical="center"/>
    </xf>
    <xf numFmtId="0" fontId="21" fillId="6" borderId="58" xfId="6" applyFont="1" applyFill="1" applyBorder="1" applyAlignment="1" applyProtection="1">
      <alignment horizontal="center" vertical="center"/>
    </xf>
    <xf numFmtId="0" fontId="23" fillId="6" borderId="47" xfId="6" applyFont="1" applyFill="1" applyBorder="1" applyAlignment="1" applyProtection="1">
      <alignment horizontal="right"/>
    </xf>
    <xf numFmtId="0" fontId="23" fillId="6" borderId="71" xfId="6" applyFont="1" applyFill="1" applyBorder="1" applyAlignment="1" applyProtection="1">
      <alignment horizontal="right"/>
    </xf>
    <xf numFmtId="0" fontId="10" fillId="6" borderId="36" xfId="6" applyFont="1" applyFill="1" applyBorder="1" applyAlignment="1" applyProtection="1">
      <alignment horizontal="left" vertical="center" wrapText="1"/>
    </xf>
    <xf numFmtId="0" fontId="10" fillId="6" borderId="14" xfId="6" applyFont="1" applyFill="1" applyBorder="1" applyAlignment="1" applyProtection="1">
      <alignment horizontal="left" vertical="center" wrapText="1"/>
    </xf>
    <xf numFmtId="0" fontId="10" fillId="6" borderId="32" xfId="6" applyFont="1" applyFill="1" applyBorder="1" applyAlignment="1" applyProtection="1">
      <alignment horizontal="left" vertical="center" wrapText="1"/>
    </xf>
    <xf numFmtId="0" fontId="10" fillId="6" borderId="16" xfId="6" applyFont="1" applyFill="1" applyBorder="1" applyAlignment="1" applyProtection="1">
      <alignment horizontal="left" vertical="center" wrapText="1"/>
    </xf>
    <xf numFmtId="0" fontId="36" fillId="6" borderId="0" xfId="12" applyFont="1" applyFill="1" applyAlignment="1" applyProtection="1">
      <alignment horizontal="center"/>
    </xf>
    <xf numFmtId="165" fontId="37" fillId="6" borderId="75" xfId="12" applyNumberFormat="1" applyFont="1" applyFill="1" applyBorder="1" applyAlignment="1" applyProtection="1">
      <alignment horizontal="left" vertical="center"/>
    </xf>
    <xf numFmtId="0" fontId="38" fillId="6" borderId="75" xfId="0" applyFont="1" applyFill="1" applyBorder="1" applyAlignment="1" applyProtection="1">
      <alignment horizontal="right" vertical="center"/>
    </xf>
    <xf numFmtId="0" fontId="10" fillId="6" borderId="78" xfId="6" applyFill="1" applyBorder="1" applyAlignment="1">
      <alignment horizontal="left" vertical="center" wrapText="1"/>
    </xf>
    <xf numFmtId="0" fontId="19" fillId="6" borderId="0" xfId="6" applyFont="1" applyFill="1" applyAlignment="1">
      <alignment horizontal="right" vertical="top"/>
    </xf>
    <xf numFmtId="49" fontId="21" fillId="6" borderId="86" xfId="6" applyNumberFormat="1" applyFont="1" applyFill="1" applyBorder="1" applyAlignment="1">
      <alignment horizontal="center" vertical="center"/>
    </xf>
    <xf numFmtId="49" fontId="21" fillId="6" borderId="85" xfId="6" applyNumberFormat="1" applyFont="1" applyFill="1" applyBorder="1" applyAlignment="1">
      <alignment horizontal="center" vertical="center"/>
    </xf>
    <xf numFmtId="49" fontId="21" fillId="6" borderId="82" xfId="6" applyNumberFormat="1" applyFont="1" applyFill="1" applyBorder="1" applyAlignment="1">
      <alignment horizontal="center" vertical="center"/>
    </xf>
    <xf numFmtId="49" fontId="21" fillId="6" borderId="76" xfId="6" applyNumberFormat="1" applyFont="1" applyFill="1" applyBorder="1" applyAlignment="1">
      <alignment horizontal="center" vertical="center"/>
    </xf>
    <xf numFmtId="0" fontId="23" fillId="6" borderId="47" xfId="6" applyFont="1" applyFill="1" applyBorder="1" applyAlignment="1">
      <alignment horizontal="center"/>
    </xf>
    <xf numFmtId="0" fontId="23" fillId="6" borderId="71" xfId="6" applyFont="1" applyFill="1" applyBorder="1" applyAlignment="1">
      <alignment horizontal="center"/>
    </xf>
    <xf numFmtId="0" fontId="21" fillId="6" borderId="18" xfId="6" applyFont="1" applyFill="1" applyBorder="1" applyAlignment="1">
      <alignment horizontal="center" vertical="center" wrapText="1"/>
    </xf>
    <xf numFmtId="0" fontId="21" fillId="6" borderId="47" xfId="6" applyFont="1" applyFill="1" applyBorder="1" applyAlignment="1">
      <alignment horizontal="center" vertical="center" wrapText="1"/>
    </xf>
    <xf numFmtId="0" fontId="21" fillId="6" borderId="71" xfId="6" applyFont="1" applyFill="1" applyBorder="1" applyAlignment="1">
      <alignment horizontal="center" vertical="center" wrapText="1"/>
    </xf>
    <xf numFmtId="165" fontId="23" fillId="6" borderId="75" xfId="6" applyNumberFormat="1" applyFont="1" applyFill="1" applyBorder="1" applyAlignment="1" applyProtection="1">
      <alignment horizontal="right" vertical="center"/>
    </xf>
    <xf numFmtId="165" fontId="36" fillId="6" borderId="51" xfId="6" applyNumberFormat="1" applyFont="1" applyFill="1" applyBorder="1" applyAlignment="1" applyProtection="1">
      <alignment horizontal="center" vertical="center" wrapText="1"/>
    </xf>
    <xf numFmtId="165" fontId="36" fillId="6" borderId="53" xfId="6" applyNumberFormat="1" applyFont="1" applyFill="1" applyBorder="1" applyAlignment="1" applyProtection="1">
      <alignment horizontal="center" vertical="center" wrapText="1"/>
    </xf>
    <xf numFmtId="0" fontId="42" fillId="6" borderId="78" xfId="12" applyFont="1" applyFill="1" applyBorder="1" applyAlignment="1" applyProtection="1">
      <alignment horizontal="left"/>
    </xf>
    <xf numFmtId="165" fontId="36" fillId="6" borderId="5" xfId="6" applyNumberFormat="1" applyFont="1" applyFill="1" applyBorder="1" applyAlignment="1" applyProtection="1">
      <alignment horizontal="center" vertical="center" wrapText="1"/>
    </xf>
    <xf numFmtId="165" fontId="36" fillId="6" borderId="4" xfId="6" applyNumberFormat="1" applyFont="1" applyFill="1" applyBorder="1" applyAlignment="1" applyProtection="1">
      <alignment horizontal="center" vertical="center" wrapText="1"/>
    </xf>
    <xf numFmtId="0" fontId="29" fillId="6" borderId="78" xfId="12" applyFont="1" applyFill="1" applyBorder="1" applyAlignment="1">
      <alignment horizontal="left"/>
    </xf>
    <xf numFmtId="165" fontId="43" fillId="6" borderId="0" xfId="12" applyNumberFormat="1" applyFont="1" applyFill="1" applyBorder="1" applyAlignment="1" applyProtection="1">
      <alignment horizontal="center" vertical="center" wrapText="1"/>
    </xf>
    <xf numFmtId="0" fontId="44" fillId="6" borderId="0" xfId="6" applyFont="1" applyFill="1" applyBorder="1" applyAlignment="1" applyProtection="1">
      <alignment horizontal="right"/>
    </xf>
    <xf numFmtId="0" fontId="38" fillId="6" borderId="0" xfId="6" applyFont="1" applyFill="1" applyBorder="1" applyAlignment="1" applyProtection="1">
      <alignment horizontal="right"/>
    </xf>
    <xf numFmtId="0" fontId="40" fillId="6" borderId="36" xfId="12" applyFont="1" applyFill="1" applyBorder="1" applyAlignment="1">
      <alignment horizontal="center" vertical="center" wrapText="1"/>
    </xf>
    <xf numFmtId="0" fontId="40" fillId="6" borderId="29" xfId="12" applyFont="1" applyFill="1" applyBorder="1" applyAlignment="1">
      <alignment horizontal="center" vertical="center" wrapText="1"/>
    </xf>
    <xf numFmtId="0" fontId="40" fillId="6" borderId="14" xfId="12" applyFont="1" applyFill="1" applyBorder="1" applyAlignment="1">
      <alignment horizontal="center" vertical="center" wrapText="1"/>
    </xf>
    <xf numFmtId="0" fontId="40" fillId="6" borderId="30" xfId="12" applyFont="1" applyFill="1" applyBorder="1" applyAlignment="1">
      <alignment horizontal="center" vertical="center" wrapText="1"/>
    </xf>
    <xf numFmtId="0" fontId="40" fillId="6" borderId="9" xfId="12" applyFont="1" applyFill="1" applyBorder="1" applyAlignment="1">
      <alignment horizontal="center" vertical="center" wrapText="1"/>
    </xf>
    <xf numFmtId="0" fontId="40" fillId="6" borderId="31" xfId="12" applyFont="1" applyFill="1" applyBorder="1" applyAlignment="1">
      <alignment horizontal="center" vertical="center" wrapText="1"/>
    </xf>
    <xf numFmtId="0" fontId="36" fillId="6" borderId="22" xfId="12" applyFont="1" applyFill="1" applyBorder="1" applyAlignment="1" applyProtection="1">
      <alignment horizontal="left"/>
    </xf>
    <xf numFmtId="0" fontId="36" fillId="6" borderId="23" xfId="12" applyFont="1" applyFill="1" applyBorder="1" applyAlignment="1" applyProtection="1">
      <alignment horizontal="left"/>
    </xf>
    <xf numFmtId="0" fontId="27" fillId="6" borderId="78" xfId="12" applyFont="1" applyFill="1" applyBorder="1" applyAlignment="1">
      <alignment horizontal="justify" vertical="center" wrapText="1"/>
    </xf>
    <xf numFmtId="165" fontId="48" fillId="0" borderId="0" xfId="6" applyNumberFormat="1" applyFont="1" applyFill="1" applyAlignment="1">
      <alignment horizontal="center" vertical="center" wrapText="1"/>
    </xf>
    <xf numFmtId="165" fontId="40" fillId="0" borderId="79" xfId="6" applyNumberFormat="1" applyFont="1" applyFill="1" applyBorder="1" applyAlignment="1" applyProtection="1">
      <alignment horizontal="center" vertical="center"/>
      <protection locked="0"/>
    </xf>
    <xf numFmtId="165" fontId="40" fillId="0" borderId="80" xfId="6" applyNumberFormat="1" applyFont="1" applyFill="1" applyBorder="1" applyAlignment="1" applyProtection="1">
      <alignment horizontal="center" vertical="center"/>
      <protection locked="0"/>
    </xf>
    <xf numFmtId="165" fontId="40" fillId="0" borderId="81" xfId="6" applyNumberFormat="1" applyFont="1" applyFill="1" applyBorder="1" applyAlignment="1" applyProtection="1">
      <alignment horizontal="center" vertical="center"/>
      <protection locked="0"/>
    </xf>
    <xf numFmtId="165" fontId="48" fillId="6" borderId="0" xfId="6" applyNumberFormat="1" applyFont="1" applyFill="1" applyAlignment="1">
      <alignment horizontal="center" vertical="center" wrapText="1"/>
    </xf>
    <xf numFmtId="165" fontId="10" fillId="6" borderId="78" xfId="6" applyNumberFormat="1" applyFill="1" applyBorder="1" applyAlignment="1" applyProtection="1">
      <alignment horizontal="left" vertical="center" wrapText="1"/>
    </xf>
    <xf numFmtId="0" fontId="56" fillId="6" borderId="78" xfId="12" applyFont="1" applyFill="1" applyBorder="1" applyAlignment="1" applyProtection="1">
      <alignment horizontal="left" wrapText="1"/>
    </xf>
    <xf numFmtId="0" fontId="4" fillId="6" borderId="0" xfId="5" applyFont="1" applyFill="1" applyBorder="1" applyAlignment="1">
      <alignment horizontal="center" vertical="center" wrapText="1"/>
    </xf>
    <xf numFmtId="0" fontId="49" fillId="0" borderId="0" xfId="10" applyFont="1" applyAlignment="1">
      <alignment horizontal="right"/>
    </xf>
    <xf numFmtId="0" fontId="32" fillId="0" borderId="0" xfId="10" applyFont="1" applyAlignment="1">
      <alignment horizontal="right"/>
    </xf>
    <xf numFmtId="0" fontId="50" fillId="0" borderId="0" xfId="10" applyFont="1" applyAlignment="1">
      <alignment horizontal="center" vertical="center" wrapText="1"/>
    </xf>
    <xf numFmtId="0" fontId="50" fillId="0" borderId="0" xfId="10" applyFont="1" applyAlignment="1">
      <alignment horizontal="center" vertical="center"/>
    </xf>
    <xf numFmtId="0" fontId="58" fillId="6" borderId="75" xfId="10" applyFont="1" applyFill="1" applyBorder="1" applyAlignment="1">
      <alignment horizontal="center" vertical="center"/>
    </xf>
    <xf numFmtId="0" fontId="50" fillId="6" borderId="51" xfId="10" applyFont="1" applyFill="1" applyBorder="1" applyAlignment="1">
      <alignment horizontal="center" vertical="center"/>
    </xf>
    <xf numFmtId="0" fontId="50" fillId="6" borderId="82" xfId="10" applyFont="1" applyFill="1" applyBorder="1" applyAlignment="1">
      <alignment horizontal="center" vertical="center"/>
    </xf>
    <xf numFmtId="0" fontId="8" fillId="6" borderId="70" xfId="10" applyFont="1" applyFill="1" applyBorder="1" applyAlignment="1">
      <alignment horizontal="center"/>
    </xf>
    <xf numFmtId="0" fontId="8" fillId="6" borderId="69" xfId="10" applyFont="1" applyFill="1" applyBorder="1" applyAlignment="1">
      <alignment horizontal="center"/>
    </xf>
    <xf numFmtId="0" fontId="48" fillId="0" borderId="0" xfId="6" applyFont="1" applyFill="1" applyAlignment="1">
      <alignment horizontal="center" wrapText="1"/>
    </xf>
    <xf numFmtId="0" fontId="20" fillId="0" borderId="0" xfId="6" applyFont="1" applyFill="1" applyAlignment="1" applyProtection="1">
      <alignment horizontal="left"/>
      <protection locked="0"/>
    </xf>
    <xf numFmtId="0" fontId="23" fillId="0" borderId="83" xfId="6" applyFont="1" applyFill="1" applyBorder="1" applyAlignment="1" applyProtection="1">
      <alignment horizontal="center"/>
    </xf>
    <xf numFmtId="0" fontId="46" fillId="0" borderId="75" xfId="6" applyFont="1" applyFill="1" applyBorder="1" applyAlignment="1" applyProtection="1">
      <alignment horizontal="left" wrapText="1"/>
      <protection locked="0"/>
    </xf>
    <xf numFmtId="0" fontId="10" fillId="0" borderId="84" xfId="6" applyFill="1" applyBorder="1" applyAlignment="1" applyProtection="1">
      <alignment horizontal="center"/>
      <protection locked="0"/>
    </xf>
    <xf numFmtId="0" fontId="48" fillId="0" borderId="0" xfId="13" applyFont="1" applyFill="1" applyAlignment="1" applyProtection="1">
      <alignment horizontal="center" wrapText="1"/>
    </xf>
    <xf numFmtId="0" fontId="48" fillId="0" borderId="0" xfId="13" applyFont="1" applyFill="1" applyAlignment="1" applyProtection="1">
      <alignment horizontal="center"/>
    </xf>
    <xf numFmtId="0" fontId="38" fillId="0" borderId="23" xfId="13" applyFont="1" applyFill="1" applyBorder="1" applyAlignment="1" applyProtection="1">
      <alignment horizontal="left" vertical="center" indent="1"/>
    </xf>
    <xf numFmtId="0" fontId="38" fillId="0" borderId="47" xfId="13" applyFont="1" applyFill="1" applyBorder="1" applyAlignment="1" applyProtection="1">
      <alignment horizontal="left" vertical="center" indent="1"/>
    </xf>
    <xf numFmtId="0" fontId="38" fillId="0" borderId="71" xfId="13" applyFont="1" applyFill="1" applyBorder="1" applyAlignment="1" applyProtection="1">
      <alignment horizontal="left" vertical="center" indent="1"/>
    </xf>
    <xf numFmtId="0" fontId="36" fillId="0" borderId="18" xfId="6" applyFont="1" applyBorder="1" applyAlignment="1" applyProtection="1">
      <alignment horizontal="left" vertical="center" indent="2"/>
    </xf>
    <xf numFmtId="0" fontId="36" fillId="0" borderId="40" xfId="6" applyFont="1" applyBorder="1" applyAlignment="1" applyProtection="1">
      <alignment horizontal="left" vertical="center" indent="2"/>
    </xf>
    <xf numFmtId="165" fontId="21" fillId="0" borderId="18" xfId="6" applyNumberFormat="1" applyFont="1" applyFill="1" applyBorder="1" applyAlignment="1" applyProtection="1">
      <alignment horizontal="left" vertical="center" wrapText="1" indent="2"/>
    </xf>
    <xf numFmtId="165" fontId="21" fillId="0" borderId="71" xfId="6" applyNumberFormat="1" applyFont="1" applyFill="1" applyBorder="1" applyAlignment="1" applyProtection="1">
      <alignment horizontal="left" vertical="center" wrapText="1" indent="2"/>
    </xf>
    <xf numFmtId="165" fontId="48" fillId="0" borderId="0" xfId="6" applyNumberFormat="1" applyFont="1" applyFill="1" applyAlignment="1" applyProtection="1">
      <alignment horizontal="center" vertical="center" wrapText="1"/>
    </xf>
    <xf numFmtId="165" fontId="21" fillId="0" borderId="51" xfId="6" applyNumberFormat="1" applyFont="1" applyFill="1" applyBorder="1" applyAlignment="1" applyProtection="1">
      <alignment horizontal="center" vertical="center" wrapText="1"/>
    </xf>
    <xf numFmtId="165" fontId="21" fillId="0" borderId="53" xfId="6" applyNumberFormat="1" applyFont="1" applyFill="1" applyBorder="1" applyAlignment="1" applyProtection="1">
      <alignment horizontal="center" vertical="center" wrapText="1"/>
    </xf>
    <xf numFmtId="165" fontId="21" fillId="0" borderId="51" xfId="6" applyNumberFormat="1" applyFont="1" applyFill="1" applyBorder="1" applyAlignment="1" applyProtection="1">
      <alignment horizontal="center" vertical="center"/>
    </xf>
    <xf numFmtId="165" fontId="21" fillId="0" borderId="53" xfId="6" applyNumberFormat="1" applyFont="1" applyFill="1" applyBorder="1" applyAlignment="1" applyProtection="1">
      <alignment horizontal="center" vertical="center"/>
    </xf>
    <xf numFmtId="165" fontId="21" fillId="0" borderId="13" xfId="6" applyNumberFormat="1" applyFont="1" applyFill="1" applyBorder="1" applyAlignment="1" applyProtection="1">
      <alignment horizontal="center" vertical="center"/>
    </xf>
    <xf numFmtId="165" fontId="21" fillId="0" borderId="70" xfId="6" applyNumberFormat="1" applyFont="1" applyFill="1" applyBorder="1" applyAlignment="1" applyProtection="1">
      <alignment horizontal="center" vertical="center"/>
    </xf>
    <xf numFmtId="165" fontId="21" fillId="0" borderId="69" xfId="6" applyNumberFormat="1" applyFont="1" applyFill="1" applyBorder="1" applyAlignment="1" applyProtection="1">
      <alignment horizontal="center" vertical="center"/>
    </xf>
    <xf numFmtId="0" fontId="4" fillId="0" borderId="0" xfId="6" applyFont="1" applyAlignment="1">
      <alignment horizontal="center" wrapText="1"/>
    </xf>
    <xf numFmtId="0" fontId="34" fillId="0" borderId="78" xfId="6" applyFont="1" applyFill="1" applyBorder="1" applyAlignment="1">
      <alignment horizontal="justify" vertical="center" wrapText="1"/>
    </xf>
    <xf numFmtId="0" fontId="7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8" fillId="0" borderId="0" xfId="13" applyFont="1" applyFill="1" applyAlignment="1" applyProtection="1">
      <alignment horizontal="center" wrapText="1"/>
      <protection locked="0"/>
    </xf>
    <xf numFmtId="0" fontId="48" fillId="0" borderId="0" xfId="13" applyFont="1" applyFill="1" applyAlignment="1" applyProtection="1">
      <alignment horizontal="center"/>
      <protection locked="0"/>
    </xf>
    <xf numFmtId="0" fontId="0" fillId="0" borderId="47" xfId="0" applyBorder="1"/>
    <xf numFmtId="0" fontId="0" fillId="0" borderId="71" xfId="0" applyBorder="1"/>
    <xf numFmtId="165" fontId="27" fillId="6" borderId="63" xfId="12" applyNumberFormat="1" applyFont="1" applyFill="1" applyBorder="1" applyAlignment="1" applyProtection="1">
      <alignment horizontal="right" vertical="center" wrapText="1" indent="1"/>
      <protection locked="0"/>
    </xf>
    <xf numFmtId="0" fontId="47" fillId="6" borderId="75" xfId="6" applyFont="1" applyFill="1" applyBorder="1" applyAlignment="1" applyProtection="1">
      <alignment horizontal="right"/>
    </xf>
    <xf numFmtId="165" fontId="10" fillId="6" borderId="27" xfId="6" applyNumberFormat="1" applyFont="1" applyFill="1" applyBorder="1" applyAlignment="1" applyProtection="1">
      <alignment horizontal="left" vertical="center" wrapText="1" indent="1"/>
      <protection locked="0"/>
    </xf>
  </cellXfs>
  <cellStyles count="16">
    <cellStyle name="Ezres 2" xfId="1"/>
    <cellStyle name="Ezres 3" xfId="2"/>
    <cellStyle name="Hiperhivatkozás" xfId="3"/>
    <cellStyle name="Már látott hiperhivatkozás" xfId="4"/>
    <cellStyle name="Normál" xfId="0" builtinId="0"/>
    <cellStyle name="Normál 2" xfId="5"/>
    <cellStyle name="Normál 2 2" xfId="6"/>
    <cellStyle name="Normál 2_2015. évi rend.táblái Bea" xfId="7"/>
    <cellStyle name="Normál 3" xfId="8"/>
    <cellStyle name="Normál 4" xfId="9"/>
    <cellStyle name="Normál_2011.dec.rend.mód." xfId="10"/>
    <cellStyle name="Normal_ered1021" xfId="11"/>
    <cellStyle name="Normál_KVRENMUNKA" xfId="12"/>
    <cellStyle name="Normál_SEGEDLETEK" xfId="13"/>
    <cellStyle name="Normál_Tartalék 2014" xfId="14"/>
    <cellStyle name="Százalék 2" xfId="1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edagogus\kat_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dagogus\kat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panyweb/ulesek/2013/2013_12_16/k&#246;lt.vet%20rendelet%20m&#243;dos&#237;t&#225;s%2012.16/pedagogus/kat_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orma_2008\Oracle_ba\adat_2008_vesz2fe_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panyweb/ulesek/2013/2013_12_16/k&#246;lt.vet%20rendelet%20m&#243;dos&#237;t&#225;s%2012.16/norma_2008/Oracle_ba/adat_2008_vesz2fe_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norma_2008\Oracle_ba\adat_2008_vesz2fe_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Munka1"/>
      <sheetName val="MEGYE"/>
      <sheetName val="T3A_1"/>
      <sheetName val="T3A_2"/>
      <sheetName val="flag_1"/>
      <sheetName val="feor_0_4"/>
      <sheetName val="feor_5_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Munka1"/>
      <sheetName val="MEGYE"/>
      <sheetName val="T3A_1"/>
      <sheetName val="T3A_2"/>
      <sheetName val="flag_1"/>
      <sheetName val="feor_0_4"/>
      <sheetName val="feor_5_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Munka1"/>
      <sheetName val="MEGYE"/>
      <sheetName val="T3A_1"/>
      <sheetName val="T3A_2"/>
      <sheetName val="flag_1"/>
      <sheetName val="feor_0_4"/>
      <sheetName val="feor_5_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eder"/>
      <sheetName val="lendvai"/>
      <sheetName val="Options"/>
      <sheetName val="NATUR_ksh"/>
      <sheetName val="NATUR_select"/>
      <sheetName val="orabol"/>
      <sheetName val="vezer"/>
      <sheetName val="KSH"/>
      <sheetName val="seged"/>
      <sheetName val="s_2"/>
      <sheetName val="g_a_1"/>
      <sheetName val="g_a_2"/>
      <sheetName val="mutato_g"/>
      <sheetName val="Ft_g"/>
      <sheetName val="s_a_1"/>
      <sheetName val="s_a_2"/>
      <sheetName val="s_a_3"/>
      <sheetName val="mutato_s"/>
      <sheetName val="Ft_s"/>
      <sheetName val="k_a_1"/>
      <sheetName val="k_a_2"/>
      <sheetName val="k_a_3"/>
      <sheetName val="mutato_k"/>
      <sheetName val="FT_k"/>
      <sheetName val="GLOBÁLIS"/>
      <sheetName val="SZOCIÁLIS"/>
      <sheetName val="KÖZOKTATÁS"/>
      <sheetName val="bibi"/>
      <sheetName val="v_g"/>
      <sheetName val="v_s"/>
      <sheetName val="v_k"/>
      <sheetName val="v_ki"/>
      <sheetName val="T"/>
      <sheetName val="sum"/>
      <sheetName val="modell_min"/>
    </sheetNames>
    <sheetDataSet>
      <sheetData sheetId="0"/>
      <sheetData sheetId="1"/>
      <sheetData sheetId="2"/>
      <sheetData sheetId="3"/>
      <sheetData sheetId="4">
        <row r="16">
          <cell r="C16" t="str">
            <v>TAM_JOGC_FELD_KOD</v>
          </cell>
          <cell r="D16" t="str">
            <v>SUM(NATUR_MUT_ERT)</v>
          </cell>
        </row>
        <row r="17">
          <cell r="C17">
            <v>901010001</v>
          </cell>
          <cell r="D17">
            <v>10162047</v>
          </cell>
        </row>
        <row r="18">
          <cell r="C18">
            <v>901010002</v>
          </cell>
          <cell r="D18">
            <v>1751</v>
          </cell>
        </row>
        <row r="19">
          <cell r="C19">
            <v>901010003</v>
          </cell>
          <cell r="D19">
            <v>1025</v>
          </cell>
        </row>
        <row r="20">
          <cell r="C20">
            <v>901010004</v>
          </cell>
          <cell r="D20">
            <v>6443895</v>
          </cell>
        </row>
        <row r="21">
          <cell r="C21">
            <v>901020001</v>
          </cell>
        </row>
        <row r="22">
          <cell r="C22">
            <v>901020002</v>
          </cell>
        </row>
        <row r="23">
          <cell r="C23">
            <v>901020003</v>
          </cell>
        </row>
        <row r="24">
          <cell r="C24">
            <v>901020004</v>
          </cell>
        </row>
        <row r="25">
          <cell r="C25">
            <v>901020005</v>
          </cell>
        </row>
        <row r="26">
          <cell r="C26">
            <v>901030001</v>
          </cell>
        </row>
        <row r="27">
          <cell r="C27">
            <v>901030002</v>
          </cell>
        </row>
        <row r="28">
          <cell r="C28">
            <v>901030003</v>
          </cell>
        </row>
        <row r="29">
          <cell r="C29">
            <v>901030004</v>
          </cell>
        </row>
        <row r="30">
          <cell r="C30">
            <v>901030005</v>
          </cell>
        </row>
        <row r="31">
          <cell r="C31">
            <v>901030006</v>
          </cell>
        </row>
        <row r="32">
          <cell r="C32">
            <v>901040001</v>
          </cell>
          <cell r="D32">
            <v>10162047</v>
          </cell>
        </row>
        <row r="33">
          <cell r="C33">
            <v>901040002</v>
          </cell>
          <cell r="D33">
            <v>1910435</v>
          </cell>
        </row>
        <row r="34">
          <cell r="C34">
            <v>901050001</v>
          </cell>
          <cell r="D34">
            <v>302353</v>
          </cell>
        </row>
        <row r="35">
          <cell r="C35">
            <v>901060001</v>
          </cell>
          <cell r="D35">
            <v>1627815</v>
          </cell>
        </row>
        <row r="36">
          <cell r="C36">
            <v>901070001</v>
          </cell>
          <cell r="D36">
            <v>315125</v>
          </cell>
        </row>
        <row r="37">
          <cell r="C37">
            <v>901070002</v>
          </cell>
          <cell r="D37">
            <v>768378</v>
          </cell>
        </row>
        <row r="38">
          <cell r="C38">
            <v>901070003</v>
          </cell>
          <cell r="D38">
            <v>601375</v>
          </cell>
        </row>
        <row r="39">
          <cell r="C39">
            <v>901080001</v>
          </cell>
          <cell r="D39">
            <v>4478916337</v>
          </cell>
        </row>
        <row r="40">
          <cell r="C40">
            <v>901090001</v>
          </cell>
          <cell r="D40">
            <v>11846570</v>
          </cell>
        </row>
        <row r="41">
          <cell r="C41">
            <v>901100001</v>
          </cell>
          <cell r="D41">
            <v>10162047</v>
          </cell>
        </row>
        <row r="42">
          <cell r="C42">
            <v>901100002</v>
          </cell>
          <cell r="D42">
            <v>20</v>
          </cell>
        </row>
        <row r="43">
          <cell r="C43">
            <v>901100003</v>
          </cell>
          <cell r="D43">
            <v>10162047</v>
          </cell>
        </row>
        <row r="44">
          <cell r="C44">
            <v>901110101</v>
          </cell>
        </row>
        <row r="45">
          <cell r="C45">
            <v>901110102</v>
          </cell>
        </row>
        <row r="46">
          <cell r="C46">
            <v>901110103</v>
          </cell>
        </row>
        <row r="47">
          <cell r="C47">
            <v>901110104</v>
          </cell>
        </row>
        <row r="48">
          <cell r="C48">
            <v>901110105</v>
          </cell>
        </row>
        <row r="49">
          <cell r="C49">
            <v>901110106</v>
          </cell>
        </row>
        <row r="50">
          <cell r="C50">
            <v>901110107</v>
          </cell>
        </row>
        <row r="51">
          <cell r="C51">
            <v>901110108</v>
          </cell>
        </row>
        <row r="52">
          <cell r="C52">
            <v>901110201</v>
          </cell>
          <cell r="D52">
            <v>538</v>
          </cell>
        </row>
        <row r="53">
          <cell r="C53">
            <v>901110202</v>
          </cell>
          <cell r="D53">
            <v>11525</v>
          </cell>
        </row>
        <row r="54">
          <cell r="C54">
            <v>901110203</v>
          </cell>
          <cell r="D54">
            <v>1937</v>
          </cell>
        </row>
        <row r="55">
          <cell r="C55">
            <v>901110204</v>
          </cell>
          <cell r="D55">
            <v>30</v>
          </cell>
        </row>
        <row r="56">
          <cell r="C56">
            <v>901110205</v>
          </cell>
          <cell r="D56">
            <v>1454</v>
          </cell>
        </row>
        <row r="57">
          <cell r="C57">
            <v>901110206</v>
          </cell>
          <cell r="D57">
            <v>56</v>
          </cell>
        </row>
        <row r="58">
          <cell r="C58">
            <v>901110207</v>
          </cell>
          <cell r="D58">
            <v>192</v>
          </cell>
        </row>
        <row r="59">
          <cell r="C59">
            <v>901110208</v>
          </cell>
          <cell r="D59">
            <v>0</v>
          </cell>
        </row>
        <row r="60">
          <cell r="C60">
            <v>901110301</v>
          </cell>
          <cell r="D60">
            <v>81872</v>
          </cell>
        </row>
        <row r="61">
          <cell r="C61">
            <v>901110302</v>
          </cell>
          <cell r="D61">
            <v>4481</v>
          </cell>
        </row>
        <row r="62">
          <cell r="C62">
            <v>901110303</v>
          </cell>
          <cell r="D62">
            <v>7472</v>
          </cell>
        </row>
        <row r="63">
          <cell r="C63">
            <v>901110304</v>
          </cell>
          <cell r="D63">
            <v>2319</v>
          </cell>
        </row>
        <row r="64">
          <cell r="C64">
            <v>901110305</v>
          </cell>
          <cell r="D64">
            <v>29506</v>
          </cell>
        </row>
        <row r="65">
          <cell r="C65">
            <v>901110306</v>
          </cell>
          <cell r="D65">
            <v>1944</v>
          </cell>
        </row>
        <row r="66">
          <cell r="C66">
            <v>901110307</v>
          </cell>
          <cell r="D66">
            <v>3739</v>
          </cell>
        </row>
        <row r="67">
          <cell r="C67">
            <v>901110308</v>
          </cell>
          <cell r="D67">
            <v>10345</v>
          </cell>
        </row>
        <row r="68">
          <cell r="C68">
            <v>901110309</v>
          </cell>
          <cell r="D68">
            <v>4942</v>
          </cell>
        </row>
        <row r="69">
          <cell r="C69">
            <v>901110310</v>
          </cell>
          <cell r="D69">
            <v>33157</v>
          </cell>
        </row>
        <row r="70">
          <cell r="C70">
            <v>901110311</v>
          </cell>
          <cell r="D70">
            <v>676</v>
          </cell>
        </row>
        <row r="71">
          <cell r="C71">
            <v>901110312</v>
          </cell>
          <cell r="D71">
            <v>2123</v>
          </cell>
        </row>
        <row r="72">
          <cell r="C72">
            <v>901110313</v>
          </cell>
          <cell r="D72">
            <v>2436</v>
          </cell>
        </row>
        <row r="73">
          <cell r="C73">
            <v>901110314</v>
          </cell>
          <cell r="D73">
            <v>170</v>
          </cell>
        </row>
        <row r="74">
          <cell r="C74">
            <v>901120101</v>
          </cell>
          <cell r="D74">
            <v>5547</v>
          </cell>
        </row>
        <row r="75">
          <cell r="C75">
            <v>901120102</v>
          </cell>
          <cell r="D75">
            <v>355</v>
          </cell>
        </row>
        <row r="76">
          <cell r="C76">
            <v>901120103</v>
          </cell>
          <cell r="D76">
            <v>12822</v>
          </cell>
        </row>
        <row r="77">
          <cell r="C77">
            <v>901120104</v>
          </cell>
          <cell r="D77">
            <v>9253</v>
          </cell>
        </row>
        <row r="78">
          <cell r="C78">
            <v>901120105</v>
          </cell>
          <cell r="D78">
            <v>4478</v>
          </cell>
        </row>
        <row r="79">
          <cell r="C79">
            <v>901120201</v>
          </cell>
          <cell r="D79">
            <v>9666</v>
          </cell>
        </row>
        <row r="80">
          <cell r="C80">
            <v>901120202</v>
          </cell>
          <cell r="D80">
            <v>3931</v>
          </cell>
        </row>
        <row r="81">
          <cell r="C81">
            <v>901120203</v>
          </cell>
          <cell r="D81">
            <v>21461</v>
          </cell>
        </row>
        <row r="82">
          <cell r="C82">
            <v>901120204</v>
          </cell>
          <cell r="D82">
            <v>567</v>
          </cell>
        </row>
        <row r="83">
          <cell r="C83">
            <v>901120205</v>
          </cell>
          <cell r="D83">
            <v>1854</v>
          </cell>
        </row>
        <row r="84">
          <cell r="C84">
            <v>901120206</v>
          </cell>
          <cell r="D84">
            <v>2973</v>
          </cell>
        </row>
        <row r="85">
          <cell r="C85">
            <v>901120301</v>
          </cell>
        </row>
        <row r="86">
          <cell r="C86">
            <v>901120302</v>
          </cell>
        </row>
        <row r="87">
          <cell r="C87">
            <v>901120303</v>
          </cell>
        </row>
        <row r="88">
          <cell r="C88">
            <v>901130101</v>
          </cell>
          <cell r="D88">
            <v>3699</v>
          </cell>
        </row>
        <row r="89">
          <cell r="C89">
            <v>901140101</v>
          </cell>
          <cell r="D89">
            <v>19933</v>
          </cell>
        </row>
        <row r="90">
          <cell r="C90">
            <v>901140102</v>
          </cell>
          <cell r="D90">
            <v>418</v>
          </cell>
        </row>
        <row r="91">
          <cell r="C91">
            <v>901140103</v>
          </cell>
          <cell r="D91">
            <v>2836</v>
          </cell>
        </row>
        <row r="92">
          <cell r="C92">
            <v>901151101</v>
          </cell>
          <cell r="D92">
            <v>1870</v>
          </cell>
        </row>
        <row r="93">
          <cell r="C93">
            <v>901151102</v>
          </cell>
          <cell r="D93">
            <v>8085</v>
          </cell>
        </row>
        <row r="94">
          <cell r="C94">
            <v>901151103</v>
          </cell>
          <cell r="D94">
            <v>65384</v>
          </cell>
        </row>
        <row r="95">
          <cell r="C95">
            <v>901151104</v>
          </cell>
          <cell r="D95">
            <v>233536</v>
          </cell>
        </row>
        <row r="96">
          <cell r="C96">
            <v>901151201</v>
          </cell>
          <cell r="D96">
            <v>5218</v>
          </cell>
        </row>
        <row r="97">
          <cell r="C97">
            <v>901151202</v>
          </cell>
          <cell r="D97">
            <v>8256</v>
          </cell>
        </row>
        <row r="98">
          <cell r="C98">
            <v>901151203</v>
          </cell>
          <cell r="D98">
            <v>133294</v>
          </cell>
        </row>
        <row r="99">
          <cell r="C99">
            <v>901151204</v>
          </cell>
          <cell r="D99">
            <v>158662</v>
          </cell>
        </row>
        <row r="100">
          <cell r="C100">
            <v>901152101</v>
          </cell>
          <cell r="D100">
            <v>89404</v>
          </cell>
        </row>
        <row r="101">
          <cell r="C101">
            <v>901152102</v>
          </cell>
          <cell r="D101">
            <v>172547</v>
          </cell>
        </row>
        <row r="102">
          <cell r="C102">
            <v>901152103</v>
          </cell>
          <cell r="D102">
            <v>91500</v>
          </cell>
        </row>
        <row r="103">
          <cell r="C103">
            <v>901152104</v>
          </cell>
          <cell r="D103">
            <v>93827</v>
          </cell>
        </row>
        <row r="104">
          <cell r="C104">
            <v>901152105</v>
          </cell>
          <cell r="D104">
            <v>100173</v>
          </cell>
        </row>
        <row r="105">
          <cell r="C105">
            <v>901152106</v>
          </cell>
          <cell r="D105">
            <v>199981</v>
          </cell>
        </row>
        <row r="106">
          <cell r="C106">
            <v>901152201</v>
          </cell>
          <cell r="D106">
            <v>177350</v>
          </cell>
        </row>
        <row r="107">
          <cell r="C107">
            <v>901152202</v>
          </cell>
          <cell r="D107">
            <v>85891</v>
          </cell>
        </row>
        <row r="108">
          <cell r="C108">
            <v>901152203</v>
          </cell>
          <cell r="D108">
            <v>88629</v>
          </cell>
        </row>
        <row r="109">
          <cell r="C109">
            <v>901152204</v>
          </cell>
          <cell r="D109">
            <v>184770</v>
          </cell>
        </row>
        <row r="110">
          <cell r="C110">
            <v>901152205</v>
          </cell>
          <cell r="D110">
            <v>201467</v>
          </cell>
        </row>
        <row r="111">
          <cell r="C111">
            <v>901153101</v>
          </cell>
          <cell r="D111">
            <v>102672</v>
          </cell>
        </row>
        <row r="112">
          <cell r="C112">
            <v>901153102</v>
          </cell>
          <cell r="D112">
            <v>98765</v>
          </cell>
        </row>
        <row r="113">
          <cell r="C113">
            <v>901153103</v>
          </cell>
          <cell r="D113">
            <v>152275</v>
          </cell>
        </row>
        <row r="114">
          <cell r="C114">
            <v>901153201</v>
          </cell>
          <cell r="D114">
            <v>196586</v>
          </cell>
        </row>
        <row r="115">
          <cell r="C115">
            <v>901153202</v>
          </cell>
          <cell r="D115">
            <v>161245</v>
          </cell>
        </row>
        <row r="116">
          <cell r="C116">
            <v>901154101</v>
          </cell>
          <cell r="D116">
            <v>53050</v>
          </cell>
        </row>
        <row r="117">
          <cell r="C117">
            <v>901154102</v>
          </cell>
          <cell r="D117">
            <v>51206</v>
          </cell>
        </row>
        <row r="118">
          <cell r="C118">
            <v>901154103</v>
          </cell>
          <cell r="D118">
            <v>1514275</v>
          </cell>
        </row>
        <row r="119">
          <cell r="C119">
            <v>901154104</v>
          </cell>
          <cell r="D119">
            <v>1185743</v>
          </cell>
        </row>
        <row r="120">
          <cell r="C120">
            <v>901154201</v>
          </cell>
          <cell r="D120">
            <v>87726</v>
          </cell>
        </row>
        <row r="121">
          <cell r="C121">
            <v>901154202</v>
          </cell>
          <cell r="D121">
            <v>19653</v>
          </cell>
        </row>
        <row r="122">
          <cell r="C122">
            <v>901154203</v>
          </cell>
          <cell r="D122">
            <v>1508747</v>
          </cell>
        </row>
        <row r="123">
          <cell r="C123">
            <v>901154204</v>
          </cell>
          <cell r="D123">
            <v>1198096</v>
          </cell>
        </row>
        <row r="124">
          <cell r="C124">
            <v>901155101</v>
          </cell>
          <cell r="D124">
            <v>70437</v>
          </cell>
        </row>
        <row r="125">
          <cell r="C125">
            <v>901155102</v>
          </cell>
          <cell r="D125">
            <v>4042</v>
          </cell>
        </row>
        <row r="126">
          <cell r="C126">
            <v>901155103</v>
          </cell>
          <cell r="D126">
            <v>40967</v>
          </cell>
        </row>
        <row r="127">
          <cell r="C127">
            <v>901155104</v>
          </cell>
          <cell r="D127">
            <v>7609</v>
          </cell>
        </row>
        <row r="128">
          <cell r="C128">
            <v>901155201</v>
          </cell>
          <cell r="D128">
            <v>73999</v>
          </cell>
        </row>
        <row r="129">
          <cell r="C129">
            <v>901155202</v>
          </cell>
          <cell r="D129">
            <v>3276</v>
          </cell>
        </row>
        <row r="130">
          <cell r="C130">
            <v>901155203</v>
          </cell>
          <cell r="D130">
            <v>77275</v>
          </cell>
        </row>
        <row r="131">
          <cell r="C131">
            <v>901155204</v>
          </cell>
          <cell r="D131">
            <v>40709</v>
          </cell>
        </row>
        <row r="132">
          <cell r="C132">
            <v>901155205</v>
          </cell>
          <cell r="D132">
            <v>6508</v>
          </cell>
        </row>
        <row r="133">
          <cell r="C133">
            <v>901155206</v>
          </cell>
          <cell r="D133">
            <v>47217</v>
          </cell>
        </row>
        <row r="134">
          <cell r="C134">
            <v>901156101</v>
          </cell>
          <cell r="D134">
            <v>187</v>
          </cell>
        </row>
        <row r="135">
          <cell r="C135">
            <v>901156102</v>
          </cell>
          <cell r="D135">
            <v>1415</v>
          </cell>
        </row>
        <row r="136">
          <cell r="C136">
            <v>901156103</v>
          </cell>
          <cell r="D136">
            <v>41298</v>
          </cell>
        </row>
        <row r="137">
          <cell r="C137">
            <v>901156104</v>
          </cell>
          <cell r="D137">
            <v>42900</v>
          </cell>
        </row>
        <row r="138">
          <cell r="C138">
            <v>901156105</v>
          </cell>
          <cell r="D138">
            <v>2648</v>
          </cell>
        </row>
        <row r="139">
          <cell r="C139">
            <v>901156106</v>
          </cell>
          <cell r="D139">
            <v>430</v>
          </cell>
        </row>
        <row r="140">
          <cell r="C140">
            <v>901156107</v>
          </cell>
          <cell r="D140">
            <v>211</v>
          </cell>
        </row>
        <row r="141">
          <cell r="C141">
            <v>901156108</v>
          </cell>
          <cell r="D141">
            <v>4098</v>
          </cell>
        </row>
        <row r="142">
          <cell r="C142">
            <v>901156109</v>
          </cell>
          <cell r="D142">
            <v>2334</v>
          </cell>
        </row>
        <row r="143">
          <cell r="C143">
            <v>901156110</v>
          </cell>
          <cell r="D143">
            <v>6643</v>
          </cell>
        </row>
        <row r="144">
          <cell r="C144">
            <v>901156201</v>
          </cell>
          <cell r="D144">
            <v>297</v>
          </cell>
        </row>
        <row r="145">
          <cell r="C145">
            <v>901156202</v>
          </cell>
          <cell r="D145">
            <v>4897</v>
          </cell>
        </row>
        <row r="146">
          <cell r="C146">
            <v>901156203</v>
          </cell>
          <cell r="D146">
            <v>46357</v>
          </cell>
        </row>
        <row r="147">
          <cell r="C147">
            <v>901156204</v>
          </cell>
          <cell r="D147">
            <v>51551</v>
          </cell>
        </row>
        <row r="148">
          <cell r="C148">
            <v>901157101</v>
          </cell>
          <cell r="D148">
            <v>243724</v>
          </cell>
        </row>
        <row r="149">
          <cell r="C149">
            <v>901157102</v>
          </cell>
          <cell r="D149">
            <v>61894</v>
          </cell>
        </row>
        <row r="150">
          <cell r="C150">
            <v>901157201</v>
          </cell>
          <cell r="D150">
            <v>176780</v>
          </cell>
        </row>
        <row r="151">
          <cell r="C151">
            <v>901157202</v>
          </cell>
          <cell r="D151">
            <v>66513</v>
          </cell>
        </row>
        <row r="152">
          <cell r="C152">
            <v>901157203</v>
          </cell>
          <cell r="D152">
            <v>40630</v>
          </cell>
        </row>
        <row r="153">
          <cell r="C153">
            <v>901157204</v>
          </cell>
          <cell r="D153">
            <v>13785</v>
          </cell>
        </row>
        <row r="154">
          <cell r="C154">
            <v>901157205</v>
          </cell>
          <cell r="D154">
            <v>10623</v>
          </cell>
        </row>
        <row r="155">
          <cell r="C155">
            <v>901161101</v>
          </cell>
          <cell r="D155">
            <v>53651</v>
          </cell>
        </row>
        <row r="156">
          <cell r="C156">
            <v>901161102</v>
          </cell>
          <cell r="D156">
            <v>56121</v>
          </cell>
        </row>
        <row r="157">
          <cell r="C157">
            <v>901161103</v>
          </cell>
          <cell r="D157">
            <v>15527</v>
          </cell>
        </row>
        <row r="158">
          <cell r="C158">
            <v>901161104</v>
          </cell>
          <cell r="D158">
            <v>15511</v>
          </cell>
        </row>
        <row r="159">
          <cell r="C159">
            <v>901161105</v>
          </cell>
          <cell r="D159">
            <v>27122</v>
          </cell>
        </row>
        <row r="160">
          <cell r="C160">
            <v>901161106</v>
          </cell>
          <cell r="D160">
            <v>27252</v>
          </cell>
        </row>
        <row r="161">
          <cell r="C161">
            <v>901161107</v>
          </cell>
          <cell r="D161">
            <v>18546</v>
          </cell>
        </row>
        <row r="162">
          <cell r="C162">
            <v>901161108</v>
          </cell>
          <cell r="D162">
            <v>19648</v>
          </cell>
        </row>
        <row r="163">
          <cell r="C163">
            <v>901161109</v>
          </cell>
          <cell r="D163">
            <v>33851</v>
          </cell>
        </row>
        <row r="164">
          <cell r="C164">
            <v>901161110</v>
          </cell>
          <cell r="D164">
            <v>35055</v>
          </cell>
        </row>
        <row r="165">
          <cell r="C165">
            <v>901161111</v>
          </cell>
          <cell r="D165">
            <v>9851</v>
          </cell>
        </row>
        <row r="166">
          <cell r="C166">
            <v>901161112</v>
          </cell>
          <cell r="D166">
            <v>10472</v>
          </cell>
        </row>
        <row r="167">
          <cell r="C167">
            <v>901161113</v>
          </cell>
          <cell r="D167">
            <v>4231</v>
          </cell>
        </row>
        <row r="168">
          <cell r="C168">
            <v>901161114</v>
          </cell>
          <cell r="D168">
            <v>4314</v>
          </cell>
        </row>
        <row r="169">
          <cell r="C169">
            <v>901162101</v>
          </cell>
          <cell r="D169">
            <v>2270</v>
          </cell>
        </row>
        <row r="170">
          <cell r="C170">
            <v>901162102</v>
          </cell>
          <cell r="D170">
            <v>563</v>
          </cell>
        </row>
        <row r="171">
          <cell r="C171">
            <v>901162103</v>
          </cell>
          <cell r="D171">
            <v>2833</v>
          </cell>
        </row>
        <row r="172">
          <cell r="C172">
            <v>901162104</v>
          </cell>
          <cell r="D172">
            <v>2152</v>
          </cell>
        </row>
        <row r="173">
          <cell r="C173">
            <v>901162105</v>
          </cell>
          <cell r="D173">
            <v>642</v>
          </cell>
        </row>
        <row r="174">
          <cell r="C174">
            <v>901162106</v>
          </cell>
          <cell r="D174">
            <v>2794</v>
          </cell>
        </row>
        <row r="175">
          <cell r="C175">
            <v>901162201</v>
          </cell>
          <cell r="D175">
            <v>450</v>
          </cell>
        </row>
        <row r="176">
          <cell r="C176">
            <v>901162202</v>
          </cell>
          <cell r="D176">
            <v>860</v>
          </cell>
        </row>
        <row r="177">
          <cell r="C177">
            <v>901162301</v>
          </cell>
          <cell r="D177">
            <v>1532</v>
          </cell>
        </row>
        <row r="178">
          <cell r="C178">
            <v>901162302</v>
          </cell>
          <cell r="D178">
            <v>7063</v>
          </cell>
        </row>
        <row r="179">
          <cell r="C179">
            <v>901162303</v>
          </cell>
          <cell r="D179">
            <v>2474</v>
          </cell>
        </row>
        <row r="180">
          <cell r="C180">
            <v>901162304</v>
          </cell>
          <cell r="D180">
            <v>11069</v>
          </cell>
        </row>
        <row r="181">
          <cell r="C181">
            <v>901162305</v>
          </cell>
          <cell r="D181">
            <v>1386</v>
          </cell>
        </row>
        <row r="182">
          <cell r="C182">
            <v>901162306</v>
          </cell>
          <cell r="D182">
            <v>7317</v>
          </cell>
        </row>
        <row r="183">
          <cell r="C183">
            <v>901162307</v>
          </cell>
          <cell r="D183">
            <v>2723</v>
          </cell>
        </row>
        <row r="184">
          <cell r="C184">
            <v>901162308</v>
          </cell>
          <cell r="D184">
            <v>11426</v>
          </cell>
        </row>
        <row r="185">
          <cell r="C185">
            <v>901162401</v>
          </cell>
          <cell r="D185">
            <v>2695</v>
          </cell>
        </row>
        <row r="186">
          <cell r="C186">
            <v>901162402</v>
          </cell>
          <cell r="D186">
            <v>45961</v>
          </cell>
        </row>
        <row r="187">
          <cell r="C187">
            <v>901162403</v>
          </cell>
          <cell r="D187">
            <v>10660</v>
          </cell>
        </row>
        <row r="188">
          <cell r="C188">
            <v>901162405</v>
          </cell>
          <cell r="D188">
            <v>59316</v>
          </cell>
        </row>
        <row r="189">
          <cell r="C189">
            <v>901162501</v>
          </cell>
          <cell r="D189">
            <v>1752</v>
          </cell>
        </row>
        <row r="190">
          <cell r="C190">
            <v>901162502</v>
          </cell>
          <cell r="D190">
            <v>30450</v>
          </cell>
        </row>
        <row r="191">
          <cell r="C191">
            <v>901162503</v>
          </cell>
          <cell r="D191">
            <v>8535</v>
          </cell>
        </row>
        <row r="192">
          <cell r="C192">
            <v>901162505</v>
          </cell>
          <cell r="D192">
            <v>40737</v>
          </cell>
        </row>
        <row r="193">
          <cell r="C193">
            <v>901162601</v>
          </cell>
          <cell r="D193">
            <v>552</v>
          </cell>
        </row>
        <row r="194">
          <cell r="C194">
            <v>901162602</v>
          </cell>
          <cell r="D194">
            <v>11160</v>
          </cell>
        </row>
        <row r="195">
          <cell r="C195">
            <v>901162603</v>
          </cell>
          <cell r="D195">
            <v>2008</v>
          </cell>
        </row>
        <row r="196">
          <cell r="C196">
            <v>901162605</v>
          </cell>
          <cell r="D196">
            <v>13720</v>
          </cell>
        </row>
        <row r="197">
          <cell r="C197">
            <v>901162701</v>
          </cell>
          <cell r="D197">
            <v>1766</v>
          </cell>
        </row>
        <row r="198">
          <cell r="C198">
            <v>901162702</v>
          </cell>
          <cell r="D198">
            <v>1756</v>
          </cell>
        </row>
        <row r="199">
          <cell r="C199">
            <v>901162801</v>
          </cell>
          <cell r="D199">
            <v>2896</v>
          </cell>
        </row>
        <row r="200">
          <cell r="C200">
            <v>901162802</v>
          </cell>
          <cell r="D200">
            <v>2649</v>
          </cell>
        </row>
        <row r="201">
          <cell r="C201">
            <v>901163101</v>
          </cell>
          <cell r="D201">
            <v>18401</v>
          </cell>
        </row>
        <row r="202">
          <cell r="C202">
            <v>901163102</v>
          </cell>
          <cell r="D202">
            <v>46281</v>
          </cell>
        </row>
        <row r="203">
          <cell r="C203">
            <v>901163103</v>
          </cell>
          <cell r="D203">
            <v>675</v>
          </cell>
        </row>
        <row r="204">
          <cell r="C204">
            <v>901163104</v>
          </cell>
          <cell r="D204">
            <v>65357</v>
          </cell>
        </row>
        <row r="205">
          <cell r="C205">
            <v>901163105</v>
          </cell>
          <cell r="D205">
            <v>18096</v>
          </cell>
        </row>
        <row r="206">
          <cell r="C206">
            <v>901163106</v>
          </cell>
          <cell r="D206">
            <v>46800</v>
          </cell>
        </row>
        <row r="207">
          <cell r="C207">
            <v>901163107</v>
          </cell>
          <cell r="D207">
            <v>667</v>
          </cell>
        </row>
        <row r="208">
          <cell r="C208">
            <v>901163108</v>
          </cell>
          <cell r="D208">
            <v>65563</v>
          </cell>
        </row>
        <row r="209">
          <cell r="C209">
            <v>901163201</v>
          </cell>
          <cell r="D209">
            <v>12952</v>
          </cell>
        </row>
        <row r="210">
          <cell r="C210">
            <v>901163202</v>
          </cell>
          <cell r="D210">
            <v>28236</v>
          </cell>
        </row>
        <row r="211">
          <cell r="C211">
            <v>901163203</v>
          </cell>
          <cell r="D211">
            <v>564</v>
          </cell>
        </row>
        <row r="212">
          <cell r="C212">
            <v>901163204</v>
          </cell>
          <cell r="D212">
            <v>41752</v>
          </cell>
        </row>
        <row r="213">
          <cell r="C213">
            <v>901163205</v>
          </cell>
          <cell r="D213">
            <v>12963</v>
          </cell>
        </row>
        <row r="214">
          <cell r="C214">
            <v>901163206</v>
          </cell>
          <cell r="D214">
            <v>28658</v>
          </cell>
        </row>
        <row r="215">
          <cell r="C215">
            <v>901163207</v>
          </cell>
          <cell r="D215">
            <v>562</v>
          </cell>
        </row>
        <row r="216">
          <cell r="C216">
            <v>901163208</v>
          </cell>
          <cell r="D216">
            <v>42183</v>
          </cell>
        </row>
        <row r="217">
          <cell r="C217">
            <v>901164101</v>
          </cell>
          <cell r="D217">
            <v>14059</v>
          </cell>
        </row>
        <row r="218">
          <cell r="C218">
            <v>901164102</v>
          </cell>
          <cell r="D218">
            <v>14168</v>
          </cell>
        </row>
        <row r="219">
          <cell r="C219">
            <v>901164103</v>
          </cell>
          <cell r="D219">
            <v>28227</v>
          </cell>
        </row>
        <row r="220">
          <cell r="C220">
            <v>901164104</v>
          </cell>
          <cell r="D220">
            <v>15238</v>
          </cell>
        </row>
        <row r="221">
          <cell r="C221">
            <v>901164105</v>
          </cell>
          <cell r="D221">
            <v>14143</v>
          </cell>
        </row>
        <row r="222">
          <cell r="C222">
            <v>901164106</v>
          </cell>
          <cell r="D222">
            <v>29381</v>
          </cell>
        </row>
        <row r="223">
          <cell r="C223">
            <v>901164201</v>
          </cell>
          <cell r="D223">
            <v>12448</v>
          </cell>
        </row>
        <row r="224">
          <cell r="C224">
            <v>901164202</v>
          </cell>
          <cell r="D224">
            <v>12608</v>
          </cell>
        </row>
        <row r="225">
          <cell r="C225">
            <v>901165101</v>
          </cell>
          <cell r="D225">
            <v>250</v>
          </cell>
        </row>
        <row r="226">
          <cell r="C226">
            <v>901165102</v>
          </cell>
          <cell r="D226">
            <v>4783</v>
          </cell>
        </row>
        <row r="227">
          <cell r="C227">
            <v>901165103</v>
          </cell>
          <cell r="D227">
            <v>5033</v>
          </cell>
        </row>
        <row r="228">
          <cell r="C228">
            <v>901165104</v>
          </cell>
          <cell r="D228">
            <v>330</v>
          </cell>
        </row>
        <row r="229">
          <cell r="C229">
            <v>901165105</v>
          </cell>
          <cell r="D229">
            <v>4848</v>
          </cell>
        </row>
        <row r="230">
          <cell r="C230">
            <v>901165106</v>
          </cell>
          <cell r="D230">
            <v>5178</v>
          </cell>
        </row>
        <row r="231">
          <cell r="C231">
            <v>901165201</v>
          </cell>
          <cell r="D231">
            <v>2674</v>
          </cell>
        </row>
        <row r="232">
          <cell r="C232">
            <v>901165202</v>
          </cell>
          <cell r="D232">
            <v>2888</v>
          </cell>
        </row>
        <row r="233">
          <cell r="C233">
            <v>901165203</v>
          </cell>
          <cell r="D233">
            <v>136</v>
          </cell>
        </row>
        <row r="234">
          <cell r="C234">
            <v>901165204</v>
          </cell>
          <cell r="D234">
            <v>150</v>
          </cell>
        </row>
        <row r="235">
          <cell r="C235">
            <v>901165205</v>
          </cell>
          <cell r="D235">
            <v>2341</v>
          </cell>
        </row>
        <row r="236">
          <cell r="C236">
            <v>901165206</v>
          </cell>
          <cell r="D236">
            <v>114</v>
          </cell>
        </row>
        <row r="237">
          <cell r="C237">
            <v>901166101</v>
          </cell>
          <cell r="D237">
            <v>160570</v>
          </cell>
        </row>
        <row r="238">
          <cell r="C238">
            <v>901166102</v>
          </cell>
          <cell r="D238">
            <v>157903</v>
          </cell>
        </row>
        <row r="239">
          <cell r="C239">
            <v>901166201</v>
          </cell>
          <cell r="D239">
            <v>181077</v>
          </cell>
        </row>
        <row r="240">
          <cell r="C240">
            <v>901166202</v>
          </cell>
          <cell r="D240">
            <v>252</v>
          </cell>
        </row>
        <row r="241">
          <cell r="C241">
            <v>901166203</v>
          </cell>
          <cell r="D241">
            <v>207</v>
          </cell>
        </row>
        <row r="242">
          <cell r="C242">
            <v>901166204</v>
          </cell>
          <cell r="D242">
            <v>200</v>
          </cell>
        </row>
        <row r="243">
          <cell r="C243">
            <v>901166205</v>
          </cell>
          <cell r="D243">
            <v>659</v>
          </cell>
        </row>
        <row r="244">
          <cell r="C244">
            <v>901166301</v>
          </cell>
          <cell r="D244">
            <v>51181</v>
          </cell>
        </row>
        <row r="245">
          <cell r="C245">
            <v>901166302</v>
          </cell>
          <cell r="D245">
            <v>67611</v>
          </cell>
        </row>
        <row r="246">
          <cell r="C246">
            <v>901166303</v>
          </cell>
          <cell r="D246">
            <v>17189</v>
          </cell>
        </row>
        <row r="247">
          <cell r="C247">
            <v>901166304</v>
          </cell>
          <cell r="D247">
            <v>54651</v>
          </cell>
        </row>
        <row r="248">
          <cell r="C248">
            <v>901166305</v>
          </cell>
          <cell r="D248">
            <v>190632</v>
          </cell>
        </row>
        <row r="249">
          <cell r="C249">
            <v>901170101</v>
          </cell>
          <cell r="D249">
            <v>117138</v>
          </cell>
        </row>
        <row r="250">
          <cell r="C250">
            <v>901170102</v>
          </cell>
          <cell r="D250">
            <v>238689</v>
          </cell>
        </row>
        <row r="251">
          <cell r="C251">
            <v>901170103</v>
          </cell>
          <cell r="D251">
            <v>25101</v>
          </cell>
        </row>
        <row r="252">
          <cell r="C252">
            <v>901170104</v>
          </cell>
          <cell r="D252">
            <v>20478</v>
          </cell>
        </row>
        <row r="253">
          <cell r="C253">
            <v>901170105</v>
          </cell>
          <cell r="D253">
            <v>401406</v>
          </cell>
        </row>
        <row r="254">
          <cell r="C254">
            <v>901170106</v>
          </cell>
          <cell r="D254">
            <v>117138</v>
          </cell>
        </row>
        <row r="255">
          <cell r="C255">
            <v>901170107</v>
          </cell>
          <cell r="D255">
            <v>238689</v>
          </cell>
        </row>
        <row r="256">
          <cell r="C256">
            <v>901170108</v>
          </cell>
          <cell r="D256">
            <v>25101</v>
          </cell>
        </row>
        <row r="257">
          <cell r="C257">
            <v>901170109</v>
          </cell>
          <cell r="D257">
            <v>20478</v>
          </cell>
        </row>
        <row r="258">
          <cell r="C258">
            <v>901170110</v>
          </cell>
          <cell r="D258">
            <v>401406</v>
          </cell>
        </row>
        <row r="259">
          <cell r="C259">
            <v>901170111</v>
          </cell>
          <cell r="D259">
            <v>22322</v>
          </cell>
        </row>
        <row r="260">
          <cell r="C260">
            <v>901170201</v>
          </cell>
          <cell r="D260">
            <v>513681</v>
          </cell>
        </row>
        <row r="261">
          <cell r="C261">
            <v>901170202</v>
          </cell>
          <cell r="D261">
            <v>1198096</v>
          </cell>
        </row>
        <row r="262">
          <cell r="C262">
            <v>901170301</v>
          </cell>
          <cell r="D262">
            <v>297</v>
          </cell>
        </row>
        <row r="263">
          <cell r="C263">
            <v>901170302</v>
          </cell>
          <cell r="D263">
            <v>4897</v>
          </cell>
        </row>
        <row r="264">
          <cell r="C264">
            <v>901170303</v>
          </cell>
          <cell r="D264">
            <v>46357</v>
          </cell>
        </row>
        <row r="265">
          <cell r="C265">
            <v>901170304</v>
          </cell>
          <cell r="D265">
            <v>51551</v>
          </cell>
        </row>
        <row r="266">
          <cell r="C266">
            <v>905010101</v>
          </cell>
          <cell r="D266">
            <v>143264</v>
          </cell>
        </row>
        <row r="267">
          <cell r="C267">
            <v>905010102</v>
          </cell>
          <cell r="D267">
            <v>141941</v>
          </cell>
        </row>
        <row r="268">
          <cell r="C268">
            <v>905010201</v>
          </cell>
        </row>
        <row r="269">
          <cell r="C269">
            <v>905010301</v>
          </cell>
          <cell r="D269">
            <v>4025</v>
          </cell>
        </row>
        <row r="270">
          <cell r="C270">
            <v>905010302</v>
          </cell>
          <cell r="D270">
            <v>4424</v>
          </cell>
        </row>
        <row r="271">
          <cell r="C271">
            <v>905020201</v>
          </cell>
        </row>
        <row r="272">
          <cell r="C272">
            <v>905020301</v>
          </cell>
          <cell r="D272">
            <v>36058</v>
          </cell>
        </row>
        <row r="273">
          <cell r="C273">
            <v>905030001</v>
          </cell>
        </row>
        <row r="274">
          <cell r="C274">
            <v>905030002</v>
          </cell>
        </row>
        <row r="275">
          <cell r="C275">
            <v>905030003</v>
          </cell>
        </row>
        <row r="276">
          <cell r="C276">
            <v>905030004</v>
          </cell>
        </row>
        <row r="277">
          <cell r="C277">
            <v>905030005</v>
          </cell>
        </row>
        <row r="278">
          <cell r="C278">
            <v>905030006</v>
          </cell>
        </row>
        <row r="279">
          <cell r="C279">
            <v>905030007</v>
          </cell>
          <cell r="D279">
            <v>1</v>
          </cell>
        </row>
        <row r="280">
          <cell r="C280">
            <v>905030008</v>
          </cell>
        </row>
        <row r="281">
          <cell r="C281">
            <v>905040001</v>
          </cell>
        </row>
        <row r="282">
          <cell r="C282">
            <v>999999801</v>
          </cell>
        </row>
        <row r="283">
          <cell r="C283">
            <v>999999802</v>
          </cell>
        </row>
        <row r="284">
          <cell r="C284">
            <v>999999803</v>
          </cell>
        </row>
        <row r="285">
          <cell r="C285">
            <v>999999804</v>
          </cell>
        </row>
        <row r="286">
          <cell r="C286">
            <v>999999805</v>
          </cell>
        </row>
        <row r="287">
          <cell r="C287">
            <v>999999806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eder"/>
      <sheetName val="lendvai"/>
      <sheetName val="Options"/>
      <sheetName val="NATUR_ksh"/>
      <sheetName val="NATUR_select"/>
      <sheetName val="orabol"/>
      <sheetName val="vezer"/>
      <sheetName val="KSH"/>
      <sheetName val="seged"/>
      <sheetName val="s_2"/>
      <sheetName val="g_a_1"/>
      <sheetName val="g_a_2"/>
      <sheetName val="mutato_g"/>
      <sheetName val="Ft_g"/>
      <sheetName val="s_a_1"/>
      <sheetName val="s_a_2"/>
      <sheetName val="s_a_3"/>
      <sheetName val="mutato_s"/>
      <sheetName val="Ft_s"/>
      <sheetName val="k_a_1"/>
      <sheetName val="k_a_2"/>
      <sheetName val="k_a_3"/>
      <sheetName val="mutato_k"/>
      <sheetName val="FT_k"/>
      <sheetName val="GLOBÁLIS"/>
      <sheetName val="SZOCIÁLIS"/>
      <sheetName val="KÖZOKTATÁS"/>
      <sheetName val="bibi"/>
      <sheetName val="v_g"/>
      <sheetName val="v_s"/>
      <sheetName val="v_k"/>
      <sheetName val="v_ki"/>
      <sheetName val="T"/>
      <sheetName val="sum"/>
      <sheetName val="modell_min"/>
    </sheetNames>
    <sheetDataSet>
      <sheetData sheetId="0"/>
      <sheetData sheetId="1"/>
      <sheetData sheetId="2"/>
      <sheetData sheetId="3"/>
      <sheetData sheetId="4">
        <row r="16">
          <cell r="C16" t="str">
            <v>TAM_JOGC_FELD_KOD</v>
          </cell>
          <cell r="D16" t="str">
            <v>SUM(NATUR_MUT_ERT)</v>
          </cell>
        </row>
        <row r="17">
          <cell r="C17">
            <v>901010001</v>
          </cell>
          <cell r="D17">
            <v>10162047</v>
          </cell>
        </row>
        <row r="18">
          <cell r="C18">
            <v>901010002</v>
          </cell>
          <cell r="D18">
            <v>1751</v>
          </cell>
        </row>
        <row r="19">
          <cell r="C19">
            <v>901010003</v>
          </cell>
          <cell r="D19">
            <v>1025</v>
          </cell>
        </row>
        <row r="20">
          <cell r="C20">
            <v>901010004</v>
          </cell>
          <cell r="D20">
            <v>6443895</v>
          </cell>
        </row>
        <row r="21">
          <cell r="C21">
            <v>901020001</v>
          </cell>
        </row>
        <row r="22">
          <cell r="C22">
            <v>901020002</v>
          </cell>
        </row>
        <row r="23">
          <cell r="C23">
            <v>901020003</v>
          </cell>
        </row>
        <row r="24">
          <cell r="C24">
            <v>901020004</v>
          </cell>
        </row>
        <row r="25">
          <cell r="C25">
            <v>901020005</v>
          </cell>
        </row>
        <row r="26">
          <cell r="C26">
            <v>901030001</v>
          </cell>
        </row>
        <row r="27">
          <cell r="C27">
            <v>901030002</v>
          </cell>
        </row>
        <row r="28">
          <cell r="C28">
            <v>901030003</v>
          </cell>
        </row>
        <row r="29">
          <cell r="C29">
            <v>901030004</v>
          </cell>
        </row>
        <row r="30">
          <cell r="C30">
            <v>901030005</v>
          </cell>
        </row>
        <row r="31">
          <cell r="C31">
            <v>901030006</v>
          </cell>
        </row>
        <row r="32">
          <cell r="C32">
            <v>901040001</v>
          </cell>
          <cell r="D32">
            <v>10162047</v>
          </cell>
        </row>
        <row r="33">
          <cell r="C33">
            <v>901040002</v>
          </cell>
          <cell r="D33">
            <v>1910435</v>
          </cell>
        </row>
        <row r="34">
          <cell r="C34">
            <v>901050001</v>
          </cell>
          <cell r="D34">
            <v>302353</v>
          </cell>
        </row>
        <row r="35">
          <cell r="C35">
            <v>901060001</v>
          </cell>
          <cell r="D35">
            <v>1627815</v>
          </cell>
        </row>
        <row r="36">
          <cell r="C36">
            <v>901070001</v>
          </cell>
          <cell r="D36">
            <v>315125</v>
          </cell>
        </row>
        <row r="37">
          <cell r="C37">
            <v>901070002</v>
          </cell>
          <cell r="D37">
            <v>768378</v>
          </cell>
        </row>
        <row r="38">
          <cell r="C38">
            <v>901070003</v>
          </cell>
          <cell r="D38">
            <v>601375</v>
          </cell>
        </row>
        <row r="39">
          <cell r="C39">
            <v>901080001</v>
          </cell>
          <cell r="D39">
            <v>4478916337</v>
          </cell>
        </row>
        <row r="40">
          <cell r="C40">
            <v>901090001</v>
          </cell>
          <cell r="D40">
            <v>11846570</v>
          </cell>
        </row>
        <row r="41">
          <cell r="C41">
            <v>901100001</v>
          </cell>
          <cell r="D41">
            <v>10162047</v>
          </cell>
        </row>
        <row r="42">
          <cell r="C42">
            <v>901100002</v>
          </cell>
          <cell r="D42">
            <v>20</v>
          </cell>
        </row>
        <row r="43">
          <cell r="C43">
            <v>901100003</v>
          </cell>
          <cell r="D43">
            <v>10162047</v>
          </cell>
        </row>
        <row r="44">
          <cell r="C44">
            <v>901110101</v>
          </cell>
        </row>
        <row r="45">
          <cell r="C45">
            <v>901110102</v>
          </cell>
        </row>
        <row r="46">
          <cell r="C46">
            <v>901110103</v>
          </cell>
        </row>
        <row r="47">
          <cell r="C47">
            <v>901110104</v>
          </cell>
        </row>
        <row r="48">
          <cell r="C48">
            <v>901110105</v>
          </cell>
        </row>
        <row r="49">
          <cell r="C49">
            <v>901110106</v>
          </cell>
        </row>
        <row r="50">
          <cell r="C50">
            <v>901110107</v>
          </cell>
        </row>
        <row r="51">
          <cell r="C51">
            <v>901110108</v>
          </cell>
        </row>
        <row r="52">
          <cell r="C52">
            <v>901110201</v>
          </cell>
          <cell r="D52">
            <v>538</v>
          </cell>
        </row>
        <row r="53">
          <cell r="C53">
            <v>901110202</v>
          </cell>
          <cell r="D53">
            <v>11525</v>
          </cell>
        </row>
        <row r="54">
          <cell r="C54">
            <v>901110203</v>
          </cell>
          <cell r="D54">
            <v>1937</v>
          </cell>
        </row>
        <row r="55">
          <cell r="C55">
            <v>901110204</v>
          </cell>
          <cell r="D55">
            <v>30</v>
          </cell>
        </row>
        <row r="56">
          <cell r="C56">
            <v>901110205</v>
          </cell>
          <cell r="D56">
            <v>1454</v>
          </cell>
        </row>
        <row r="57">
          <cell r="C57">
            <v>901110206</v>
          </cell>
          <cell r="D57">
            <v>56</v>
          </cell>
        </row>
        <row r="58">
          <cell r="C58">
            <v>901110207</v>
          </cell>
          <cell r="D58">
            <v>192</v>
          </cell>
        </row>
        <row r="59">
          <cell r="C59">
            <v>901110208</v>
          </cell>
          <cell r="D59">
            <v>0</v>
          </cell>
        </row>
        <row r="60">
          <cell r="C60">
            <v>901110301</v>
          </cell>
          <cell r="D60">
            <v>81872</v>
          </cell>
        </row>
        <row r="61">
          <cell r="C61">
            <v>901110302</v>
          </cell>
          <cell r="D61">
            <v>4481</v>
          </cell>
        </row>
        <row r="62">
          <cell r="C62">
            <v>901110303</v>
          </cell>
          <cell r="D62">
            <v>7472</v>
          </cell>
        </row>
        <row r="63">
          <cell r="C63">
            <v>901110304</v>
          </cell>
          <cell r="D63">
            <v>2319</v>
          </cell>
        </row>
        <row r="64">
          <cell r="C64">
            <v>901110305</v>
          </cell>
          <cell r="D64">
            <v>29506</v>
          </cell>
        </row>
        <row r="65">
          <cell r="C65">
            <v>901110306</v>
          </cell>
          <cell r="D65">
            <v>1944</v>
          </cell>
        </row>
        <row r="66">
          <cell r="C66">
            <v>901110307</v>
          </cell>
          <cell r="D66">
            <v>3739</v>
          </cell>
        </row>
        <row r="67">
          <cell r="C67">
            <v>901110308</v>
          </cell>
          <cell r="D67">
            <v>10345</v>
          </cell>
        </row>
        <row r="68">
          <cell r="C68">
            <v>901110309</v>
          </cell>
          <cell r="D68">
            <v>4942</v>
          </cell>
        </row>
        <row r="69">
          <cell r="C69">
            <v>901110310</v>
          </cell>
          <cell r="D69">
            <v>33157</v>
          </cell>
        </row>
        <row r="70">
          <cell r="C70">
            <v>901110311</v>
          </cell>
          <cell r="D70">
            <v>676</v>
          </cell>
        </row>
        <row r="71">
          <cell r="C71">
            <v>901110312</v>
          </cell>
          <cell r="D71">
            <v>2123</v>
          </cell>
        </row>
        <row r="72">
          <cell r="C72">
            <v>901110313</v>
          </cell>
          <cell r="D72">
            <v>2436</v>
          </cell>
        </row>
        <row r="73">
          <cell r="C73">
            <v>901110314</v>
          </cell>
          <cell r="D73">
            <v>170</v>
          </cell>
        </row>
        <row r="74">
          <cell r="C74">
            <v>901120101</v>
          </cell>
          <cell r="D74">
            <v>5547</v>
          </cell>
        </row>
        <row r="75">
          <cell r="C75">
            <v>901120102</v>
          </cell>
          <cell r="D75">
            <v>355</v>
          </cell>
        </row>
        <row r="76">
          <cell r="C76">
            <v>901120103</v>
          </cell>
          <cell r="D76">
            <v>12822</v>
          </cell>
        </row>
        <row r="77">
          <cell r="C77">
            <v>901120104</v>
          </cell>
          <cell r="D77">
            <v>9253</v>
          </cell>
        </row>
        <row r="78">
          <cell r="C78">
            <v>901120105</v>
          </cell>
          <cell r="D78">
            <v>4478</v>
          </cell>
        </row>
        <row r="79">
          <cell r="C79">
            <v>901120201</v>
          </cell>
          <cell r="D79">
            <v>9666</v>
          </cell>
        </row>
        <row r="80">
          <cell r="C80">
            <v>901120202</v>
          </cell>
          <cell r="D80">
            <v>3931</v>
          </cell>
        </row>
        <row r="81">
          <cell r="C81">
            <v>901120203</v>
          </cell>
          <cell r="D81">
            <v>21461</v>
          </cell>
        </row>
        <row r="82">
          <cell r="C82">
            <v>901120204</v>
          </cell>
          <cell r="D82">
            <v>567</v>
          </cell>
        </row>
        <row r="83">
          <cell r="C83">
            <v>901120205</v>
          </cell>
          <cell r="D83">
            <v>1854</v>
          </cell>
        </row>
        <row r="84">
          <cell r="C84">
            <v>901120206</v>
          </cell>
          <cell r="D84">
            <v>2973</v>
          </cell>
        </row>
        <row r="85">
          <cell r="C85">
            <v>901120301</v>
          </cell>
        </row>
        <row r="86">
          <cell r="C86">
            <v>901120302</v>
          </cell>
        </row>
        <row r="87">
          <cell r="C87">
            <v>901120303</v>
          </cell>
        </row>
        <row r="88">
          <cell r="C88">
            <v>901130101</v>
          </cell>
          <cell r="D88">
            <v>3699</v>
          </cell>
        </row>
        <row r="89">
          <cell r="C89">
            <v>901140101</v>
          </cell>
          <cell r="D89">
            <v>19933</v>
          </cell>
        </row>
        <row r="90">
          <cell r="C90">
            <v>901140102</v>
          </cell>
          <cell r="D90">
            <v>418</v>
          </cell>
        </row>
        <row r="91">
          <cell r="C91">
            <v>901140103</v>
          </cell>
          <cell r="D91">
            <v>2836</v>
          </cell>
        </row>
        <row r="92">
          <cell r="C92">
            <v>901151101</v>
          </cell>
          <cell r="D92">
            <v>1870</v>
          </cell>
        </row>
        <row r="93">
          <cell r="C93">
            <v>901151102</v>
          </cell>
          <cell r="D93">
            <v>8085</v>
          </cell>
        </row>
        <row r="94">
          <cell r="C94">
            <v>901151103</v>
          </cell>
          <cell r="D94">
            <v>65384</v>
          </cell>
        </row>
        <row r="95">
          <cell r="C95">
            <v>901151104</v>
          </cell>
          <cell r="D95">
            <v>233536</v>
          </cell>
        </row>
        <row r="96">
          <cell r="C96">
            <v>901151201</v>
          </cell>
          <cell r="D96">
            <v>5218</v>
          </cell>
        </row>
        <row r="97">
          <cell r="C97">
            <v>901151202</v>
          </cell>
          <cell r="D97">
            <v>8256</v>
          </cell>
        </row>
        <row r="98">
          <cell r="C98">
            <v>901151203</v>
          </cell>
          <cell r="D98">
            <v>133294</v>
          </cell>
        </row>
        <row r="99">
          <cell r="C99">
            <v>901151204</v>
          </cell>
          <cell r="D99">
            <v>158662</v>
          </cell>
        </row>
        <row r="100">
          <cell r="C100">
            <v>901152101</v>
          </cell>
          <cell r="D100">
            <v>89404</v>
          </cell>
        </row>
        <row r="101">
          <cell r="C101">
            <v>901152102</v>
          </cell>
          <cell r="D101">
            <v>172547</v>
          </cell>
        </row>
        <row r="102">
          <cell r="C102">
            <v>901152103</v>
          </cell>
          <cell r="D102">
            <v>91500</v>
          </cell>
        </row>
        <row r="103">
          <cell r="C103">
            <v>901152104</v>
          </cell>
          <cell r="D103">
            <v>93827</v>
          </cell>
        </row>
        <row r="104">
          <cell r="C104">
            <v>901152105</v>
          </cell>
          <cell r="D104">
            <v>100173</v>
          </cell>
        </row>
        <row r="105">
          <cell r="C105">
            <v>901152106</v>
          </cell>
          <cell r="D105">
            <v>199981</v>
          </cell>
        </row>
        <row r="106">
          <cell r="C106">
            <v>901152201</v>
          </cell>
          <cell r="D106">
            <v>177350</v>
          </cell>
        </row>
        <row r="107">
          <cell r="C107">
            <v>901152202</v>
          </cell>
          <cell r="D107">
            <v>85891</v>
          </cell>
        </row>
        <row r="108">
          <cell r="C108">
            <v>901152203</v>
          </cell>
          <cell r="D108">
            <v>88629</v>
          </cell>
        </row>
        <row r="109">
          <cell r="C109">
            <v>901152204</v>
          </cell>
          <cell r="D109">
            <v>184770</v>
          </cell>
        </row>
        <row r="110">
          <cell r="C110">
            <v>901152205</v>
          </cell>
          <cell r="D110">
            <v>201467</v>
          </cell>
        </row>
        <row r="111">
          <cell r="C111">
            <v>901153101</v>
          </cell>
          <cell r="D111">
            <v>102672</v>
          </cell>
        </row>
        <row r="112">
          <cell r="C112">
            <v>901153102</v>
          </cell>
          <cell r="D112">
            <v>98765</v>
          </cell>
        </row>
        <row r="113">
          <cell r="C113">
            <v>901153103</v>
          </cell>
          <cell r="D113">
            <v>152275</v>
          </cell>
        </row>
        <row r="114">
          <cell r="C114">
            <v>901153201</v>
          </cell>
          <cell r="D114">
            <v>196586</v>
          </cell>
        </row>
        <row r="115">
          <cell r="C115">
            <v>901153202</v>
          </cell>
          <cell r="D115">
            <v>161245</v>
          </cell>
        </row>
        <row r="116">
          <cell r="C116">
            <v>901154101</v>
          </cell>
          <cell r="D116">
            <v>53050</v>
          </cell>
        </row>
        <row r="117">
          <cell r="C117">
            <v>901154102</v>
          </cell>
          <cell r="D117">
            <v>51206</v>
          </cell>
        </row>
        <row r="118">
          <cell r="C118">
            <v>901154103</v>
          </cell>
          <cell r="D118">
            <v>1514275</v>
          </cell>
        </row>
        <row r="119">
          <cell r="C119">
            <v>901154104</v>
          </cell>
          <cell r="D119">
            <v>1185743</v>
          </cell>
        </row>
        <row r="120">
          <cell r="C120">
            <v>901154201</v>
          </cell>
          <cell r="D120">
            <v>87726</v>
          </cell>
        </row>
        <row r="121">
          <cell r="C121">
            <v>901154202</v>
          </cell>
          <cell r="D121">
            <v>19653</v>
          </cell>
        </row>
        <row r="122">
          <cell r="C122">
            <v>901154203</v>
          </cell>
          <cell r="D122">
            <v>1508747</v>
          </cell>
        </row>
        <row r="123">
          <cell r="C123">
            <v>901154204</v>
          </cell>
          <cell r="D123">
            <v>1198096</v>
          </cell>
        </row>
        <row r="124">
          <cell r="C124">
            <v>901155101</v>
          </cell>
          <cell r="D124">
            <v>70437</v>
          </cell>
        </row>
        <row r="125">
          <cell r="C125">
            <v>901155102</v>
          </cell>
          <cell r="D125">
            <v>4042</v>
          </cell>
        </row>
        <row r="126">
          <cell r="C126">
            <v>901155103</v>
          </cell>
          <cell r="D126">
            <v>40967</v>
          </cell>
        </row>
        <row r="127">
          <cell r="C127">
            <v>901155104</v>
          </cell>
          <cell r="D127">
            <v>7609</v>
          </cell>
        </row>
        <row r="128">
          <cell r="C128">
            <v>901155201</v>
          </cell>
          <cell r="D128">
            <v>73999</v>
          </cell>
        </row>
        <row r="129">
          <cell r="C129">
            <v>901155202</v>
          </cell>
          <cell r="D129">
            <v>3276</v>
          </cell>
        </row>
        <row r="130">
          <cell r="C130">
            <v>901155203</v>
          </cell>
          <cell r="D130">
            <v>77275</v>
          </cell>
        </row>
        <row r="131">
          <cell r="C131">
            <v>901155204</v>
          </cell>
          <cell r="D131">
            <v>40709</v>
          </cell>
        </row>
        <row r="132">
          <cell r="C132">
            <v>901155205</v>
          </cell>
          <cell r="D132">
            <v>6508</v>
          </cell>
        </row>
        <row r="133">
          <cell r="C133">
            <v>901155206</v>
          </cell>
          <cell r="D133">
            <v>47217</v>
          </cell>
        </row>
        <row r="134">
          <cell r="C134">
            <v>901156101</v>
          </cell>
          <cell r="D134">
            <v>187</v>
          </cell>
        </row>
        <row r="135">
          <cell r="C135">
            <v>901156102</v>
          </cell>
          <cell r="D135">
            <v>1415</v>
          </cell>
        </row>
        <row r="136">
          <cell r="C136">
            <v>901156103</v>
          </cell>
          <cell r="D136">
            <v>41298</v>
          </cell>
        </row>
        <row r="137">
          <cell r="C137">
            <v>901156104</v>
          </cell>
          <cell r="D137">
            <v>42900</v>
          </cell>
        </row>
        <row r="138">
          <cell r="C138">
            <v>901156105</v>
          </cell>
          <cell r="D138">
            <v>2648</v>
          </cell>
        </row>
        <row r="139">
          <cell r="C139">
            <v>901156106</v>
          </cell>
          <cell r="D139">
            <v>430</v>
          </cell>
        </row>
        <row r="140">
          <cell r="C140">
            <v>901156107</v>
          </cell>
          <cell r="D140">
            <v>211</v>
          </cell>
        </row>
        <row r="141">
          <cell r="C141">
            <v>901156108</v>
          </cell>
          <cell r="D141">
            <v>4098</v>
          </cell>
        </row>
        <row r="142">
          <cell r="C142">
            <v>901156109</v>
          </cell>
          <cell r="D142">
            <v>2334</v>
          </cell>
        </row>
        <row r="143">
          <cell r="C143">
            <v>901156110</v>
          </cell>
          <cell r="D143">
            <v>6643</v>
          </cell>
        </row>
        <row r="144">
          <cell r="C144">
            <v>901156201</v>
          </cell>
          <cell r="D144">
            <v>297</v>
          </cell>
        </row>
        <row r="145">
          <cell r="C145">
            <v>901156202</v>
          </cell>
          <cell r="D145">
            <v>4897</v>
          </cell>
        </row>
        <row r="146">
          <cell r="C146">
            <v>901156203</v>
          </cell>
          <cell r="D146">
            <v>46357</v>
          </cell>
        </row>
        <row r="147">
          <cell r="C147">
            <v>901156204</v>
          </cell>
          <cell r="D147">
            <v>51551</v>
          </cell>
        </row>
        <row r="148">
          <cell r="C148">
            <v>901157101</v>
          </cell>
          <cell r="D148">
            <v>243724</v>
          </cell>
        </row>
        <row r="149">
          <cell r="C149">
            <v>901157102</v>
          </cell>
          <cell r="D149">
            <v>61894</v>
          </cell>
        </row>
        <row r="150">
          <cell r="C150">
            <v>901157201</v>
          </cell>
          <cell r="D150">
            <v>176780</v>
          </cell>
        </row>
        <row r="151">
          <cell r="C151">
            <v>901157202</v>
          </cell>
          <cell r="D151">
            <v>66513</v>
          </cell>
        </row>
        <row r="152">
          <cell r="C152">
            <v>901157203</v>
          </cell>
          <cell r="D152">
            <v>40630</v>
          </cell>
        </row>
        <row r="153">
          <cell r="C153">
            <v>901157204</v>
          </cell>
          <cell r="D153">
            <v>13785</v>
          </cell>
        </row>
        <row r="154">
          <cell r="C154">
            <v>901157205</v>
          </cell>
          <cell r="D154">
            <v>10623</v>
          </cell>
        </row>
        <row r="155">
          <cell r="C155">
            <v>901161101</v>
          </cell>
          <cell r="D155">
            <v>53651</v>
          </cell>
        </row>
        <row r="156">
          <cell r="C156">
            <v>901161102</v>
          </cell>
          <cell r="D156">
            <v>56121</v>
          </cell>
        </row>
        <row r="157">
          <cell r="C157">
            <v>901161103</v>
          </cell>
          <cell r="D157">
            <v>15527</v>
          </cell>
        </row>
        <row r="158">
          <cell r="C158">
            <v>901161104</v>
          </cell>
          <cell r="D158">
            <v>15511</v>
          </cell>
        </row>
        <row r="159">
          <cell r="C159">
            <v>901161105</v>
          </cell>
          <cell r="D159">
            <v>27122</v>
          </cell>
        </row>
        <row r="160">
          <cell r="C160">
            <v>901161106</v>
          </cell>
          <cell r="D160">
            <v>27252</v>
          </cell>
        </row>
        <row r="161">
          <cell r="C161">
            <v>901161107</v>
          </cell>
          <cell r="D161">
            <v>18546</v>
          </cell>
        </row>
        <row r="162">
          <cell r="C162">
            <v>901161108</v>
          </cell>
          <cell r="D162">
            <v>19648</v>
          </cell>
        </row>
        <row r="163">
          <cell r="C163">
            <v>901161109</v>
          </cell>
          <cell r="D163">
            <v>33851</v>
          </cell>
        </row>
        <row r="164">
          <cell r="C164">
            <v>901161110</v>
          </cell>
          <cell r="D164">
            <v>35055</v>
          </cell>
        </row>
        <row r="165">
          <cell r="C165">
            <v>901161111</v>
          </cell>
          <cell r="D165">
            <v>9851</v>
          </cell>
        </row>
        <row r="166">
          <cell r="C166">
            <v>901161112</v>
          </cell>
          <cell r="D166">
            <v>10472</v>
          </cell>
        </row>
        <row r="167">
          <cell r="C167">
            <v>901161113</v>
          </cell>
          <cell r="D167">
            <v>4231</v>
          </cell>
        </row>
        <row r="168">
          <cell r="C168">
            <v>901161114</v>
          </cell>
          <cell r="D168">
            <v>4314</v>
          </cell>
        </row>
        <row r="169">
          <cell r="C169">
            <v>901162101</v>
          </cell>
          <cell r="D169">
            <v>2270</v>
          </cell>
        </row>
        <row r="170">
          <cell r="C170">
            <v>901162102</v>
          </cell>
          <cell r="D170">
            <v>563</v>
          </cell>
        </row>
        <row r="171">
          <cell r="C171">
            <v>901162103</v>
          </cell>
          <cell r="D171">
            <v>2833</v>
          </cell>
        </row>
        <row r="172">
          <cell r="C172">
            <v>901162104</v>
          </cell>
          <cell r="D172">
            <v>2152</v>
          </cell>
        </row>
        <row r="173">
          <cell r="C173">
            <v>901162105</v>
          </cell>
          <cell r="D173">
            <v>642</v>
          </cell>
        </row>
        <row r="174">
          <cell r="C174">
            <v>901162106</v>
          </cell>
          <cell r="D174">
            <v>2794</v>
          </cell>
        </row>
        <row r="175">
          <cell r="C175">
            <v>901162201</v>
          </cell>
          <cell r="D175">
            <v>450</v>
          </cell>
        </row>
        <row r="176">
          <cell r="C176">
            <v>901162202</v>
          </cell>
          <cell r="D176">
            <v>860</v>
          </cell>
        </row>
        <row r="177">
          <cell r="C177">
            <v>901162301</v>
          </cell>
          <cell r="D177">
            <v>1532</v>
          </cell>
        </row>
        <row r="178">
          <cell r="C178">
            <v>901162302</v>
          </cell>
          <cell r="D178">
            <v>7063</v>
          </cell>
        </row>
        <row r="179">
          <cell r="C179">
            <v>901162303</v>
          </cell>
          <cell r="D179">
            <v>2474</v>
          </cell>
        </row>
        <row r="180">
          <cell r="C180">
            <v>901162304</v>
          </cell>
          <cell r="D180">
            <v>11069</v>
          </cell>
        </row>
        <row r="181">
          <cell r="C181">
            <v>901162305</v>
          </cell>
          <cell r="D181">
            <v>1386</v>
          </cell>
        </row>
        <row r="182">
          <cell r="C182">
            <v>901162306</v>
          </cell>
          <cell r="D182">
            <v>7317</v>
          </cell>
        </row>
        <row r="183">
          <cell r="C183">
            <v>901162307</v>
          </cell>
          <cell r="D183">
            <v>2723</v>
          </cell>
        </row>
        <row r="184">
          <cell r="C184">
            <v>901162308</v>
          </cell>
          <cell r="D184">
            <v>11426</v>
          </cell>
        </row>
        <row r="185">
          <cell r="C185">
            <v>901162401</v>
          </cell>
          <cell r="D185">
            <v>2695</v>
          </cell>
        </row>
        <row r="186">
          <cell r="C186">
            <v>901162402</v>
          </cell>
          <cell r="D186">
            <v>45961</v>
          </cell>
        </row>
        <row r="187">
          <cell r="C187">
            <v>901162403</v>
          </cell>
          <cell r="D187">
            <v>10660</v>
          </cell>
        </row>
        <row r="188">
          <cell r="C188">
            <v>901162405</v>
          </cell>
          <cell r="D188">
            <v>59316</v>
          </cell>
        </row>
        <row r="189">
          <cell r="C189">
            <v>901162501</v>
          </cell>
          <cell r="D189">
            <v>1752</v>
          </cell>
        </row>
        <row r="190">
          <cell r="C190">
            <v>901162502</v>
          </cell>
          <cell r="D190">
            <v>30450</v>
          </cell>
        </row>
        <row r="191">
          <cell r="C191">
            <v>901162503</v>
          </cell>
          <cell r="D191">
            <v>8535</v>
          </cell>
        </row>
        <row r="192">
          <cell r="C192">
            <v>901162505</v>
          </cell>
          <cell r="D192">
            <v>40737</v>
          </cell>
        </row>
        <row r="193">
          <cell r="C193">
            <v>901162601</v>
          </cell>
          <cell r="D193">
            <v>552</v>
          </cell>
        </row>
        <row r="194">
          <cell r="C194">
            <v>901162602</v>
          </cell>
          <cell r="D194">
            <v>11160</v>
          </cell>
        </row>
        <row r="195">
          <cell r="C195">
            <v>901162603</v>
          </cell>
          <cell r="D195">
            <v>2008</v>
          </cell>
        </row>
        <row r="196">
          <cell r="C196">
            <v>901162605</v>
          </cell>
          <cell r="D196">
            <v>13720</v>
          </cell>
        </row>
        <row r="197">
          <cell r="C197">
            <v>901162701</v>
          </cell>
          <cell r="D197">
            <v>1766</v>
          </cell>
        </row>
        <row r="198">
          <cell r="C198">
            <v>901162702</v>
          </cell>
          <cell r="D198">
            <v>1756</v>
          </cell>
        </row>
        <row r="199">
          <cell r="C199">
            <v>901162801</v>
          </cell>
          <cell r="D199">
            <v>2896</v>
          </cell>
        </row>
        <row r="200">
          <cell r="C200">
            <v>901162802</v>
          </cell>
          <cell r="D200">
            <v>2649</v>
          </cell>
        </row>
        <row r="201">
          <cell r="C201">
            <v>901163101</v>
          </cell>
          <cell r="D201">
            <v>18401</v>
          </cell>
        </row>
        <row r="202">
          <cell r="C202">
            <v>901163102</v>
          </cell>
          <cell r="D202">
            <v>46281</v>
          </cell>
        </row>
        <row r="203">
          <cell r="C203">
            <v>901163103</v>
          </cell>
          <cell r="D203">
            <v>675</v>
          </cell>
        </row>
        <row r="204">
          <cell r="C204">
            <v>901163104</v>
          </cell>
          <cell r="D204">
            <v>65357</v>
          </cell>
        </row>
        <row r="205">
          <cell r="C205">
            <v>901163105</v>
          </cell>
          <cell r="D205">
            <v>18096</v>
          </cell>
        </row>
        <row r="206">
          <cell r="C206">
            <v>901163106</v>
          </cell>
          <cell r="D206">
            <v>46800</v>
          </cell>
        </row>
        <row r="207">
          <cell r="C207">
            <v>901163107</v>
          </cell>
          <cell r="D207">
            <v>667</v>
          </cell>
        </row>
        <row r="208">
          <cell r="C208">
            <v>901163108</v>
          </cell>
          <cell r="D208">
            <v>65563</v>
          </cell>
        </row>
        <row r="209">
          <cell r="C209">
            <v>901163201</v>
          </cell>
          <cell r="D209">
            <v>12952</v>
          </cell>
        </row>
        <row r="210">
          <cell r="C210">
            <v>901163202</v>
          </cell>
          <cell r="D210">
            <v>28236</v>
          </cell>
        </row>
        <row r="211">
          <cell r="C211">
            <v>901163203</v>
          </cell>
          <cell r="D211">
            <v>564</v>
          </cell>
        </row>
        <row r="212">
          <cell r="C212">
            <v>901163204</v>
          </cell>
          <cell r="D212">
            <v>41752</v>
          </cell>
        </row>
        <row r="213">
          <cell r="C213">
            <v>901163205</v>
          </cell>
          <cell r="D213">
            <v>12963</v>
          </cell>
        </row>
        <row r="214">
          <cell r="C214">
            <v>901163206</v>
          </cell>
          <cell r="D214">
            <v>28658</v>
          </cell>
        </row>
        <row r="215">
          <cell r="C215">
            <v>901163207</v>
          </cell>
          <cell r="D215">
            <v>562</v>
          </cell>
        </row>
        <row r="216">
          <cell r="C216">
            <v>901163208</v>
          </cell>
          <cell r="D216">
            <v>42183</v>
          </cell>
        </row>
        <row r="217">
          <cell r="C217">
            <v>901164101</v>
          </cell>
          <cell r="D217">
            <v>14059</v>
          </cell>
        </row>
        <row r="218">
          <cell r="C218">
            <v>901164102</v>
          </cell>
          <cell r="D218">
            <v>14168</v>
          </cell>
        </row>
        <row r="219">
          <cell r="C219">
            <v>901164103</v>
          </cell>
          <cell r="D219">
            <v>28227</v>
          </cell>
        </row>
        <row r="220">
          <cell r="C220">
            <v>901164104</v>
          </cell>
          <cell r="D220">
            <v>15238</v>
          </cell>
        </row>
        <row r="221">
          <cell r="C221">
            <v>901164105</v>
          </cell>
          <cell r="D221">
            <v>14143</v>
          </cell>
        </row>
        <row r="222">
          <cell r="C222">
            <v>901164106</v>
          </cell>
          <cell r="D222">
            <v>29381</v>
          </cell>
        </row>
        <row r="223">
          <cell r="C223">
            <v>901164201</v>
          </cell>
          <cell r="D223">
            <v>12448</v>
          </cell>
        </row>
        <row r="224">
          <cell r="C224">
            <v>901164202</v>
          </cell>
          <cell r="D224">
            <v>12608</v>
          </cell>
        </row>
        <row r="225">
          <cell r="C225">
            <v>901165101</v>
          </cell>
          <cell r="D225">
            <v>250</v>
          </cell>
        </row>
        <row r="226">
          <cell r="C226">
            <v>901165102</v>
          </cell>
          <cell r="D226">
            <v>4783</v>
          </cell>
        </row>
        <row r="227">
          <cell r="C227">
            <v>901165103</v>
          </cell>
          <cell r="D227">
            <v>5033</v>
          </cell>
        </row>
        <row r="228">
          <cell r="C228">
            <v>901165104</v>
          </cell>
          <cell r="D228">
            <v>330</v>
          </cell>
        </row>
        <row r="229">
          <cell r="C229">
            <v>901165105</v>
          </cell>
          <cell r="D229">
            <v>4848</v>
          </cell>
        </row>
        <row r="230">
          <cell r="C230">
            <v>901165106</v>
          </cell>
          <cell r="D230">
            <v>5178</v>
          </cell>
        </row>
        <row r="231">
          <cell r="C231">
            <v>901165201</v>
          </cell>
          <cell r="D231">
            <v>2674</v>
          </cell>
        </row>
        <row r="232">
          <cell r="C232">
            <v>901165202</v>
          </cell>
          <cell r="D232">
            <v>2888</v>
          </cell>
        </row>
        <row r="233">
          <cell r="C233">
            <v>901165203</v>
          </cell>
          <cell r="D233">
            <v>136</v>
          </cell>
        </row>
        <row r="234">
          <cell r="C234">
            <v>901165204</v>
          </cell>
          <cell r="D234">
            <v>150</v>
          </cell>
        </row>
        <row r="235">
          <cell r="C235">
            <v>901165205</v>
          </cell>
          <cell r="D235">
            <v>2341</v>
          </cell>
        </row>
        <row r="236">
          <cell r="C236">
            <v>901165206</v>
          </cell>
          <cell r="D236">
            <v>114</v>
          </cell>
        </row>
        <row r="237">
          <cell r="C237">
            <v>901166101</v>
          </cell>
          <cell r="D237">
            <v>160570</v>
          </cell>
        </row>
        <row r="238">
          <cell r="C238">
            <v>901166102</v>
          </cell>
          <cell r="D238">
            <v>157903</v>
          </cell>
        </row>
        <row r="239">
          <cell r="C239">
            <v>901166201</v>
          </cell>
          <cell r="D239">
            <v>181077</v>
          </cell>
        </row>
        <row r="240">
          <cell r="C240">
            <v>901166202</v>
          </cell>
          <cell r="D240">
            <v>252</v>
          </cell>
        </row>
        <row r="241">
          <cell r="C241">
            <v>901166203</v>
          </cell>
          <cell r="D241">
            <v>207</v>
          </cell>
        </row>
        <row r="242">
          <cell r="C242">
            <v>901166204</v>
          </cell>
          <cell r="D242">
            <v>200</v>
          </cell>
        </row>
        <row r="243">
          <cell r="C243">
            <v>901166205</v>
          </cell>
          <cell r="D243">
            <v>659</v>
          </cell>
        </row>
        <row r="244">
          <cell r="C244">
            <v>901166301</v>
          </cell>
          <cell r="D244">
            <v>51181</v>
          </cell>
        </row>
        <row r="245">
          <cell r="C245">
            <v>901166302</v>
          </cell>
          <cell r="D245">
            <v>67611</v>
          </cell>
        </row>
        <row r="246">
          <cell r="C246">
            <v>901166303</v>
          </cell>
          <cell r="D246">
            <v>17189</v>
          </cell>
        </row>
        <row r="247">
          <cell r="C247">
            <v>901166304</v>
          </cell>
          <cell r="D247">
            <v>54651</v>
          </cell>
        </row>
        <row r="248">
          <cell r="C248">
            <v>901166305</v>
          </cell>
          <cell r="D248">
            <v>190632</v>
          </cell>
        </row>
        <row r="249">
          <cell r="C249">
            <v>901170101</v>
          </cell>
          <cell r="D249">
            <v>117138</v>
          </cell>
        </row>
        <row r="250">
          <cell r="C250">
            <v>901170102</v>
          </cell>
          <cell r="D250">
            <v>238689</v>
          </cell>
        </row>
        <row r="251">
          <cell r="C251">
            <v>901170103</v>
          </cell>
          <cell r="D251">
            <v>25101</v>
          </cell>
        </row>
        <row r="252">
          <cell r="C252">
            <v>901170104</v>
          </cell>
          <cell r="D252">
            <v>20478</v>
          </cell>
        </row>
        <row r="253">
          <cell r="C253">
            <v>901170105</v>
          </cell>
          <cell r="D253">
            <v>401406</v>
          </cell>
        </row>
        <row r="254">
          <cell r="C254">
            <v>901170106</v>
          </cell>
          <cell r="D254">
            <v>117138</v>
          </cell>
        </row>
        <row r="255">
          <cell r="C255">
            <v>901170107</v>
          </cell>
          <cell r="D255">
            <v>238689</v>
          </cell>
        </row>
        <row r="256">
          <cell r="C256">
            <v>901170108</v>
          </cell>
          <cell r="D256">
            <v>25101</v>
          </cell>
        </row>
        <row r="257">
          <cell r="C257">
            <v>901170109</v>
          </cell>
          <cell r="D257">
            <v>20478</v>
          </cell>
        </row>
        <row r="258">
          <cell r="C258">
            <v>901170110</v>
          </cell>
          <cell r="D258">
            <v>401406</v>
          </cell>
        </row>
        <row r="259">
          <cell r="C259">
            <v>901170111</v>
          </cell>
          <cell r="D259">
            <v>22322</v>
          </cell>
        </row>
        <row r="260">
          <cell r="C260">
            <v>901170201</v>
          </cell>
          <cell r="D260">
            <v>513681</v>
          </cell>
        </row>
        <row r="261">
          <cell r="C261">
            <v>901170202</v>
          </cell>
          <cell r="D261">
            <v>1198096</v>
          </cell>
        </row>
        <row r="262">
          <cell r="C262">
            <v>901170301</v>
          </cell>
          <cell r="D262">
            <v>297</v>
          </cell>
        </row>
        <row r="263">
          <cell r="C263">
            <v>901170302</v>
          </cell>
          <cell r="D263">
            <v>4897</v>
          </cell>
        </row>
        <row r="264">
          <cell r="C264">
            <v>901170303</v>
          </cell>
          <cell r="D264">
            <v>46357</v>
          </cell>
        </row>
        <row r="265">
          <cell r="C265">
            <v>901170304</v>
          </cell>
          <cell r="D265">
            <v>51551</v>
          </cell>
        </row>
        <row r="266">
          <cell r="C266">
            <v>905010101</v>
          </cell>
          <cell r="D266">
            <v>143264</v>
          </cell>
        </row>
        <row r="267">
          <cell r="C267">
            <v>905010102</v>
          </cell>
          <cell r="D267">
            <v>141941</v>
          </cell>
        </row>
        <row r="268">
          <cell r="C268">
            <v>905010201</v>
          </cell>
        </row>
        <row r="269">
          <cell r="C269">
            <v>905010301</v>
          </cell>
          <cell r="D269">
            <v>4025</v>
          </cell>
        </row>
        <row r="270">
          <cell r="C270">
            <v>905010302</v>
          </cell>
          <cell r="D270">
            <v>4424</v>
          </cell>
        </row>
        <row r="271">
          <cell r="C271">
            <v>905020201</v>
          </cell>
        </row>
        <row r="272">
          <cell r="C272">
            <v>905020301</v>
          </cell>
          <cell r="D272">
            <v>36058</v>
          </cell>
        </row>
        <row r="273">
          <cell r="C273">
            <v>905030001</v>
          </cell>
        </row>
        <row r="274">
          <cell r="C274">
            <v>905030002</v>
          </cell>
        </row>
        <row r="275">
          <cell r="C275">
            <v>905030003</v>
          </cell>
        </row>
        <row r="276">
          <cell r="C276">
            <v>905030004</v>
          </cell>
        </row>
        <row r="277">
          <cell r="C277">
            <v>905030005</v>
          </cell>
        </row>
        <row r="278">
          <cell r="C278">
            <v>905030006</v>
          </cell>
        </row>
        <row r="279">
          <cell r="C279">
            <v>905030007</v>
          </cell>
          <cell r="D279">
            <v>1</v>
          </cell>
        </row>
        <row r="280">
          <cell r="C280">
            <v>905030008</v>
          </cell>
        </row>
        <row r="281">
          <cell r="C281">
            <v>905040001</v>
          </cell>
        </row>
        <row r="282">
          <cell r="C282">
            <v>999999801</v>
          </cell>
        </row>
        <row r="283">
          <cell r="C283">
            <v>999999802</v>
          </cell>
        </row>
        <row r="284">
          <cell r="C284">
            <v>999999803</v>
          </cell>
        </row>
        <row r="285">
          <cell r="C285">
            <v>999999804</v>
          </cell>
        </row>
        <row r="286">
          <cell r="C286">
            <v>999999805</v>
          </cell>
        </row>
        <row r="287">
          <cell r="C287">
            <v>999999806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eder"/>
      <sheetName val="lendvai"/>
      <sheetName val="Options"/>
      <sheetName val="NATUR_ksh"/>
      <sheetName val="NATUR_select"/>
      <sheetName val="orabol"/>
      <sheetName val="vezer"/>
      <sheetName val="KSH"/>
      <sheetName val="seged"/>
      <sheetName val="s_2"/>
      <sheetName val="g_a_1"/>
      <sheetName val="g_a_2"/>
      <sheetName val="mutato_g"/>
      <sheetName val="Ft_g"/>
      <sheetName val="s_a_1"/>
      <sheetName val="s_a_2"/>
      <sheetName val="s_a_3"/>
      <sheetName val="mutato_s"/>
      <sheetName val="Ft_s"/>
      <sheetName val="k_a_1"/>
      <sheetName val="k_a_2"/>
      <sheetName val="k_a_3"/>
      <sheetName val="mutato_k"/>
      <sheetName val="FT_k"/>
      <sheetName val="GLOBÁLIS"/>
      <sheetName val="SZOCIÁLIS"/>
      <sheetName val="KÖZOKTATÁS"/>
      <sheetName val="bibi"/>
      <sheetName val="v_g"/>
      <sheetName val="v_s"/>
      <sheetName val="v_k"/>
      <sheetName val="v_ki"/>
      <sheetName val="T"/>
      <sheetName val="sum"/>
      <sheetName val="modell_min"/>
    </sheetNames>
    <sheetDataSet>
      <sheetData sheetId="0"/>
      <sheetData sheetId="1"/>
      <sheetData sheetId="2"/>
      <sheetData sheetId="3"/>
      <sheetData sheetId="4">
        <row r="16">
          <cell r="C16" t="str">
            <v>TAM_JOGC_FELD_KOD</v>
          </cell>
          <cell r="D16" t="str">
            <v>SUM(NATUR_MUT_ERT)</v>
          </cell>
        </row>
        <row r="17">
          <cell r="C17">
            <v>901010001</v>
          </cell>
          <cell r="D17">
            <v>10162047</v>
          </cell>
        </row>
        <row r="18">
          <cell r="C18">
            <v>901010002</v>
          </cell>
          <cell r="D18">
            <v>1751</v>
          </cell>
        </row>
        <row r="19">
          <cell r="C19">
            <v>901010003</v>
          </cell>
          <cell r="D19">
            <v>1025</v>
          </cell>
        </row>
        <row r="20">
          <cell r="C20">
            <v>901010004</v>
          </cell>
          <cell r="D20">
            <v>6443895</v>
          </cell>
        </row>
        <row r="21">
          <cell r="C21">
            <v>901020001</v>
          </cell>
        </row>
        <row r="22">
          <cell r="C22">
            <v>901020002</v>
          </cell>
        </row>
        <row r="23">
          <cell r="C23">
            <v>901020003</v>
          </cell>
        </row>
        <row r="24">
          <cell r="C24">
            <v>901020004</v>
          </cell>
        </row>
        <row r="25">
          <cell r="C25">
            <v>901020005</v>
          </cell>
        </row>
        <row r="26">
          <cell r="C26">
            <v>901030001</v>
          </cell>
        </row>
        <row r="27">
          <cell r="C27">
            <v>901030002</v>
          </cell>
        </row>
        <row r="28">
          <cell r="C28">
            <v>901030003</v>
          </cell>
        </row>
        <row r="29">
          <cell r="C29">
            <v>901030004</v>
          </cell>
        </row>
        <row r="30">
          <cell r="C30">
            <v>901030005</v>
          </cell>
        </row>
        <row r="31">
          <cell r="C31">
            <v>901030006</v>
          </cell>
        </row>
        <row r="32">
          <cell r="C32">
            <v>901040001</v>
          </cell>
          <cell r="D32">
            <v>10162047</v>
          </cell>
        </row>
        <row r="33">
          <cell r="C33">
            <v>901040002</v>
          </cell>
          <cell r="D33">
            <v>1910435</v>
          </cell>
        </row>
        <row r="34">
          <cell r="C34">
            <v>901050001</v>
          </cell>
          <cell r="D34">
            <v>302353</v>
          </cell>
        </row>
        <row r="35">
          <cell r="C35">
            <v>901060001</v>
          </cell>
          <cell r="D35">
            <v>1627815</v>
          </cell>
        </row>
        <row r="36">
          <cell r="C36">
            <v>901070001</v>
          </cell>
          <cell r="D36">
            <v>315125</v>
          </cell>
        </row>
        <row r="37">
          <cell r="C37">
            <v>901070002</v>
          </cell>
          <cell r="D37">
            <v>768378</v>
          </cell>
        </row>
        <row r="38">
          <cell r="C38">
            <v>901070003</v>
          </cell>
          <cell r="D38">
            <v>601375</v>
          </cell>
        </row>
        <row r="39">
          <cell r="C39">
            <v>901080001</v>
          </cell>
          <cell r="D39">
            <v>4478916337</v>
          </cell>
        </row>
        <row r="40">
          <cell r="C40">
            <v>901090001</v>
          </cell>
          <cell r="D40">
            <v>11846570</v>
          </cell>
        </row>
        <row r="41">
          <cell r="C41">
            <v>901100001</v>
          </cell>
          <cell r="D41">
            <v>10162047</v>
          </cell>
        </row>
        <row r="42">
          <cell r="C42">
            <v>901100002</v>
          </cell>
          <cell r="D42">
            <v>20</v>
          </cell>
        </row>
        <row r="43">
          <cell r="C43">
            <v>901100003</v>
          </cell>
          <cell r="D43">
            <v>10162047</v>
          </cell>
        </row>
        <row r="44">
          <cell r="C44">
            <v>901110101</v>
          </cell>
        </row>
        <row r="45">
          <cell r="C45">
            <v>901110102</v>
          </cell>
        </row>
        <row r="46">
          <cell r="C46">
            <v>901110103</v>
          </cell>
        </row>
        <row r="47">
          <cell r="C47">
            <v>901110104</v>
          </cell>
        </row>
        <row r="48">
          <cell r="C48">
            <v>901110105</v>
          </cell>
        </row>
        <row r="49">
          <cell r="C49">
            <v>901110106</v>
          </cell>
        </row>
        <row r="50">
          <cell r="C50">
            <v>901110107</v>
          </cell>
        </row>
        <row r="51">
          <cell r="C51">
            <v>901110108</v>
          </cell>
        </row>
        <row r="52">
          <cell r="C52">
            <v>901110201</v>
          </cell>
          <cell r="D52">
            <v>538</v>
          </cell>
        </row>
        <row r="53">
          <cell r="C53">
            <v>901110202</v>
          </cell>
          <cell r="D53">
            <v>11525</v>
          </cell>
        </row>
        <row r="54">
          <cell r="C54">
            <v>901110203</v>
          </cell>
          <cell r="D54">
            <v>1937</v>
          </cell>
        </row>
        <row r="55">
          <cell r="C55">
            <v>901110204</v>
          </cell>
          <cell r="D55">
            <v>30</v>
          </cell>
        </row>
        <row r="56">
          <cell r="C56">
            <v>901110205</v>
          </cell>
          <cell r="D56">
            <v>1454</v>
          </cell>
        </row>
        <row r="57">
          <cell r="C57">
            <v>901110206</v>
          </cell>
          <cell r="D57">
            <v>56</v>
          </cell>
        </row>
        <row r="58">
          <cell r="C58">
            <v>901110207</v>
          </cell>
          <cell r="D58">
            <v>192</v>
          </cell>
        </row>
        <row r="59">
          <cell r="C59">
            <v>901110208</v>
          </cell>
          <cell r="D59">
            <v>0</v>
          </cell>
        </row>
        <row r="60">
          <cell r="C60">
            <v>901110301</v>
          </cell>
          <cell r="D60">
            <v>81872</v>
          </cell>
        </row>
        <row r="61">
          <cell r="C61">
            <v>901110302</v>
          </cell>
          <cell r="D61">
            <v>4481</v>
          </cell>
        </row>
        <row r="62">
          <cell r="C62">
            <v>901110303</v>
          </cell>
          <cell r="D62">
            <v>7472</v>
          </cell>
        </row>
        <row r="63">
          <cell r="C63">
            <v>901110304</v>
          </cell>
          <cell r="D63">
            <v>2319</v>
          </cell>
        </row>
        <row r="64">
          <cell r="C64">
            <v>901110305</v>
          </cell>
          <cell r="D64">
            <v>29506</v>
          </cell>
        </row>
        <row r="65">
          <cell r="C65">
            <v>901110306</v>
          </cell>
          <cell r="D65">
            <v>1944</v>
          </cell>
        </row>
        <row r="66">
          <cell r="C66">
            <v>901110307</v>
          </cell>
          <cell r="D66">
            <v>3739</v>
          </cell>
        </row>
        <row r="67">
          <cell r="C67">
            <v>901110308</v>
          </cell>
          <cell r="D67">
            <v>10345</v>
          </cell>
        </row>
        <row r="68">
          <cell r="C68">
            <v>901110309</v>
          </cell>
          <cell r="D68">
            <v>4942</v>
          </cell>
        </row>
        <row r="69">
          <cell r="C69">
            <v>901110310</v>
          </cell>
          <cell r="D69">
            <v>33157</v>
          </cell>
        </row>
        <row r="70">
          <cell r="C70">
            <v>901110311</v>
          </cell>
          <cell r="D70">
            <v>676</v>
          </cell>
        </row>
        <row r="71">
          <cell r="C71">
            <v>901110312</v>
          </cell>
          <cell r="D71">
            <v>2123</v>
          </cell>
        </row>
        <row r="72">
          <cell r="C72">
            <v>901110313</v>
          </cell>
          <cell r="D72">
            <v>2436</v>
          </cell>
        </row>
        <row r="73">
          <cell r="C73">
            <v>901110314</v>
          </cell>
          <cell r="D73">
            <v>170</v>
          </cell>
        </row>
        <row r="74">
          <cell r="C74">
            <v>901120101</v>
          </cell>
          <cell r="D74">
            <v>5547</v>
          </cell>
        </row>
        <row r="75">
          <cell r="C75">
            <v>901120102</v>
          </cell>
          <cell r="D75">
            <v>355</v>
          </cell>
        </row>
        <row r="76">
          <cell r="C76">
            <v>901120103</v>
          </cell>
          <cell r="D76">
            <v>12822</v>
          </cell>
        </row>
        <row r="77">
          <cell r="C77">
            <v>901120104</v>
          </cell>
          <cell r="D77">
            <v>9253</v>
          </cell>
        </row>
        <row r="78">
          <cell r="C78">
            <v>901120105</v>
          </cell>
          <cell r="D78">
            <v>4478</v>
          </cell>
        </row>
        <row r="79">
          <cell r="C79">
            <v>901120201</v>
          </cell>
          <cell r="D79">
            <v>9666</v>
          </cell>
        </row>
        <row r="80">
          <cell r="C80">
            <v>901120202</v>
          </cell>
          <cell r="D80">
            <v>3931</v>
          </cell>
        </row>
        <row r="81">
          <cell r="C81">
            <v>901120203</v>
          </cell>
          <cell r="D81">
            <v>21461</v>
          </cell>
        </row>
        <row r="82">
          <cell r="C82">
            <v>901120204</v>
          </cell>
          <cell r="D82">
            <v>567</v>
          </cell>
        </row>
        <row r="83">
          <cell r="C83">
            <v>901120205</v>
          </cell>
          <cell r="D83">
            <v>1854</v>
          </cell>
        </row>
        <row r="84">
          <cell r="C84">
            <v>901120206</v>
          </cell>
          <cell r="D84">
            <v>2973</v>
          </cell>
        </row>
        <row r="85">
          <cell r="C85">
            <v>901120301</v>
          </cell>
        </row>
        <row r="86">
          <cell r="C86">
            <v>901120302</v>
          </cell>
        </row>
        <row r="87">
          <cell r="C87">
            <v>901120303</v>
          </cell>
        </row>
        <row r="88">
          <cell r="C88">
            <v>901130101</v>
          </cell>
          <cell r="D88">
            <v>3699</v>
          </cell>
        </row>
        <row r="89">
          <cell r="C89">
            <v>901140101</v>
          </cell>
          <cell r="D89">
            <v>19933</v>
          </cell>
        </row>
        <row r="90">
          <cell r="C90">
            <v>901140102</v>
          </cell>
          <cell r="D90">
            <v>418</v>
          </cell>
        </row>
        <row r="91">
          <cell r="C91">
            <v>901140103</v>
          </cell>
          <cell r="D91">
            <v>2836</v>
          </cell>
        </row>
        <row r="92">
          <cell r="C92">
            <v>901151101</v>
          </cell>
          <cell r="D92">
            <v>1870</v>
          </cell>
        </row>
        <row r="93">
          <cell r="C93">
            <v>901151102</v>
          </cell>
          <cell r="D93">
            <v>8085</v>
          </cell>
        </row>
        <row r="94">
          <cell r="C94">
            <v>901151103</v>
          </cell>
          <cell r="D94">
            <v>65384</v>
          </cell>
        </row>
        <row r="95">
          <cell r="C95">
            <v>901151104</v>
          </cell>
          <cell r="D95">
            <v>233536</v>
          </cell>
        </row>
        <row r="96">
          <cell r="C96">
            <v>901151201</v>
          </cell>
          <cell r="D96">
            <v>5218</v>
          </cell>
        </row>
        <row r="97">
          <cell r="C97">
            <v>901151202</v>
          </cell>
          <cell r="D97">
            <v>8256</v>
          </cell>
        </row>
        <row r="98">
          <cell r="C98">
            <v>901151203</v>
          </cell>
          <cell r="D98">
            <v>133294</v>
          </cell>
        </row>
        <row r="99">
          <cell r="C99">
            <v>901151204</v>
          </cell>
          <cell r="D99">
            <v>158662</v>
          </cell>
        </row>
        <row r="100">
          <cell r="C100">
            <v>901152101</v>
          </cell>
          <cell r="D100">
            <v>89404</v>
          </cell>
        </row>
        <row r="101">
          <cell r="C101">
            <v>901152102</v>
          </cell>
          <cell r="D101">
            <v>172547</v>
          </cell>
        </row>
        <row r="102">
          <cell r="C102">
            <v>901152103</v>
          </cell>
          <cell r="D102">
            <v>91500</v>
          </cell>
        </row>
        <row r="103">
          <cell r="C103">
            <v>901152104</v>
          </cell>
          <cell r="D103">
            <v>93827</v>
          </cell>
        </row>
        <row r="104">
          <cell r="C104">
            <v>901152105</v>
          </cell>
          <cell r="D104">
            <v>100173</v>
          </cell>
        </row>
        <row r="105">
          <cell r="C105">
            <v>901152106</v>
          </cell>
          <cell r="D105">
            <v>199981</v>
          </cell>
        </row>
        <row r="106">
          <cell r="C106">
            <v>901152201</v>
          </cell>
          <cell r="D106">
            <v>177350</v>
          </cell>
        </row>
        <row r="107">
          <cell r="C107">
            <v>901152202</v>
          </cell>
          <cell r="D107">
            <v>85891</v>
          </cell>
        </row>
        <row r="108">
          <cell r="C108">
            <v>901152203</v>
          </cell>
          <cell r="D108">
            <v>88629</v>
          </cell>
        </row>
        <row r="109">
          <cell r="C109">
            <v>901152204</v>
          </cell>
          <cell r="D109">
            <v>184770</v>
          </cell>
        </row>
        <row r="110">
          <cell r="C110">
            <v>901152205</v>
          </cell>
          <cell r="D110">
            <v>201467</v>
          </cell>
        </row>
        <row r="111">
          <cell r="C111">
            <v>901153101</v>
          </cell>
          <cell r="D111">
            <v>102672</v>
          </cell>
        </row>
        <row r="112">
          <cell r="C112">
            <v>901153102</v>
          </cell>
          <cell r="D112">
            <v>98765</v>
          </cell>
        </row>
        <row r="113">
          <cell r="C113">
            <v>901153103</v>
          </cell>
          <cell r="D113">
            <v>152275</v>
          </cell>
        </row>
        <row r="114">
          <cell r="C114">
            <v>901153201</v>
          </cell>
          <cell r="D114">
            <v>196586</v>
          </cell>
        </row>
        <row r="115">
          <cell r="C115">
            <v>901153202</v>
          </cell>
          <cell r="D115">
            <v>161245</v>
          </cell>
        </row>
        <row r="116">
          <cell r="C116">
            <v>901154101</v>
          </cell>
          <cell r="D116">
            <v>53050</v>
          </cell>
        </row>
        <row r="117">
          <cell r="C117">
            <v>901154102</v>
          </cell>
          <cell r="D117">
            <v>51206</v>
          </cell>
        </row>
        <row r="118">
          <cell r="C118">
            <v>901154103</v>
          </cell>
          <cell r="D118">
            <v>1514275</v>
          </cell>
        </row>
        <row r="119">
          <cell r="C119">
            <v>901154104</v>
          </cell>
          <cell r="D119">
            <v>1185743</v>
          </cell>
        </row>
        <row r="120">
          <cell r="C120">
            <v>901154201</v>
          </cell>
          <cell r="D120">
            <v>87726</v>
          </cell>
        </row>
        <row r="121">
          <cell r="C121">
            <v>901154202</v>
          </cell>
          <cell r="D121">
            <v>19653</v>
          </cell>
        </row>
        <row r="122">
          <cell r="C122">
            <v>901154203</v>
          </cell>
          <cell r="D122">
            <v>1508747</v>
          </cell>
        </row>
        <row r="123">
          <cell r="C123">
            <v>901154204</v>
          </cell>
          <cell r="D123">
            <v>1198096</v>
          </cell>
        </row>
        <row r="124">
          <cell r="C124">
            <v>901155101</v>
          </cell>
          <cell r="D124">
            <v>70437</v>
          </cell>
        </row>
        <row r="125">
          <cell r="C125">
            <v>901155102</v>
          </cell>
          <cell r="D125">
            <v>4042</v>
          </cell>
        </row>
        <row r="126">
          <cell r="C126">
            <v>901155103</v>
          </cell>
          <cell r="D126">
            <v>40967</v>
          </cell>
        </row>
        <row r="127">
          <cell r="C127">
            <v>901155104</v>
          </cell>
          <cell r="D127">
            <v>7609</v>
          </cell>
        </row>
        <row r="128">
          <cell r="C128">
            <v>901155201</v>
          </cell>
          <cell r="D128">
            <v>73999</v>
          </cell>
        </row>
        <row r="129">
          <cell r="C129">
            <v>901155202</v>
          </cell>
          <cell r="D129">
            <v>3276</v>
          </cell>
        </row>
        <row r="130">
          <cell r="C130">
            <v>901155203</v>
          </cell>
          <cell r="D130">
            <v>77275</v>
          </cell>
        </row>
        <row r="131">
          <cell r="C131">
            <v>901155204</v>
          </cell>
          <cell r="D131">
            <v>40709</v>
          </cell>
        </row>
        <row r="132">
          <cell r="C132">
            <v>901155205</v>
          </cell>
          <cell r="D132">
            <v>6508</v>
          </cell>
        </row>
        <row r="133">
          <cell r="C133">
            <v>901155206</v>
          </cell>
          <cell r="D133">
            <v>47217</v>
          </cell>
        </row>
        <row r="134">
          <cell r="C134">
            <v>901156101</v>
          </cell>
          <cell r="D134">
            <v>187</v>
          </cell>
        </row>
        <row r="135">
          <cell r="C135">
            <v>901156102</v>
          </cell>
          <cell r="D135">
            <v>1415</v>
          </cell>
        </row>
        <row r="136">
          <cell r="C136">
            <v>901156103</v>
          </cell>
          <cell r="D136">
            <v>41298</v>
          </cell>
        </row>
        <row r="137">
          <cell r="C137">
            <v>901156104</v>
          </cell>
          <cell r="D137">
            <v>42900</v>
          </cell>
        </row>
        <row r="138">
          <cell r="C138">
            <v>901156105</v>
          </cell>
          <cell r="D138">
            <v>2648</v>
          </cell>
        </row>
        <row r="139">
          <cell r="C139">
            <v>901156106</v>
          </cell>
          <cell r="D139">
            <v>430</v>
          </cell>
        </row>
        <row r="140">
          <cell r="C140">
            <v>901156107</v>
          </cell>
          <cell r="D140">
            <v>211</v>
          </cell>
        </row>
        <row r="141">
          <cell r="C141">
            <v>901156108</v>
          </cell>
          <cell r="D141">
            <v>4098</v>
          </cell>
        </row>
        <row r="142">
          <cell r="C142">
            <v>901156109</v>
          </cell>
          <cell r="D142">
            <v>2334</v>
          </cell>
        </row>
        <row r="143">
          <cell r="C143">
            <v>901156110</v>
          </cell>
          <cell r="D143">
            <v>6643</v>
          </cell>
        </row>
        <row r="144">
          <cell r="C144">
            <v>901156201</v>
          </cell>
          <cell r="D144">
            <v>297</v>
          </cell>
        </row>
        <row r="145">
          <cell r="C145">
            <v>901156202</v>
          </cell>
          <cell r="D145">
            <v>4897</v>
          </cell>
        </row>
        <row r="146">
          <cell r="C146">
            <v>901156203</v>
          </cell>
          <cell r="D146">
            <v>46357</v>
          </cell>
        </row>
        <row r="147">
          <cell r="C147">
            <v>901156204</v>
          </cell>
          <cell r="D147">
            <v>51551</v>
          </cell>
        </row>
        <row r="148">
          <cell r="C148">
            <v>901157101</v>
          </cell>
          <cell r="D148">
            <v>243724</v>
          </cell>
        </row>
        <row r="149">
          <cell r="C149">
            <v>901157102</v>
          </cell>
          <cell r="D149">
            <v>61894</v>
          </cell>
        </row>
        <row r="150">
          <cell r="C150">
            <v>901157201</v>
          </cell>
          <cell r="D150">
            <v>176780</v>
          </cell>
        </row>
        <row r="151">
          <cell r="C151">
            <v>901157202</v>
          </cell>
          <cell r="D151">
            <v>66513</v>
          </cell>
        </row>
        <row r="152">
          <cell r="C152">
            <v>901157203</v>
          </cell>
          <cell r="D152">
            <v>40630</v>
          </cell>
        </row>
        <row r="153">
          <cell r="C153">
            <v>901157204</v>
          </cell>
          <cell r="D153">
            <v>13785</v>
          </cell>
        </row>
        <row r="154">
          <cell r="C154">
            <v>901157205</v>
          </cell>
          <cell r="D154">
            <v>10623</v>
          </cell>
        </row>
        <row r="155">
          <cell r="C155">
            <v>901161101</v>
          </cell>
          <cell r="D155">
            <v>53651</v>
          </cell>
        </row>
        <row r="156">
          <cell r="C156">
            <v>901161102</v>
          </cell>
          <cell r="D156">
            <v>56121</v>
          </cell>
        </row>
        <row r="157">
          <cell r="C157">
            <v>901161103</v>
          </cell>
          <cell r="D157">
            <v>15527</v>
          </cell>
        </row>
        <row r="158">
          <cell r="C158">
            <v>901161104</v>
          </cell>
          <cell r="D158">
            <v>15511</v>
          </cell>
        </row>
        <row r="159">
          <cell r="C159">
            <v>901161105</v>
          </cell>
          <cell r="D159">
            <v>27122</v>
          </cell>
        </row>
        <row r="160">
          <cell r="C160">
            <v>901161106</v>
          </cell>
          <cell r="D160">
            <v>27252</v>
          </cell>
        </row>
        <row r="161">
          <cell r="C161">
            <v>901161107</v>
          </cell>
          <cell r="D161">
            <v>18546</v>
          </cell>
        </row>
        <row r="162">
          <cell r="C162">
            <v>901161108</v>
          </cell>
          <cell r="D162">
            <v>19648</v>
          </cell>
        </row>
        <row r="163">
          <cell r="C163">
            <v>901161109</v>
          </cell>
          <cell r="D163">
            <v>33851</v>
          </cell>
        </row>
        <row r="164">
          <cell r="C164">
            <v>901161110</v>
          </cell>
          <cell r="D164">
            <v>35055</v>
          </cell>
        </row>
        <row r="165">
          <cell r="C165">
            <v>901161111</v>
          </cell>
          <cell r="D165">
            <v>9851</v>
          </cell>
        </row>
        <row r="166">
          <cell r="C166">
            <v>901161112</v>
          </cell>
          <cell r="D166">
            <v>10472</v>
          </cell>
        </row>
        <row r="167">
          <cell r="C167">
            <v>901161113</v>
          </cell>
          <cell r="D167">
            <v>4231</v>
          </cell>
        </row>
        <row r="168">
          <cell r="C168">
            <v>901161114</v>
          </cell>
          <cell r="D168">
            <v>4314</v>
          </cell>
        </row>
        <row r="169">
          <cell r="C169">
            <v>901162101</v>
          </cell>
          <cell r="D169">
            <v>2270</v>
          </cell>
        </row>
        <row r="170">
          <cell r="C170">
            <v>901162102</v>
          </cell>
          <cell r="D170">
            <v>563</v>
          </cell>
        </row>
        <row r="171">
          <cell r="C171">
            <v>901162103</v>
          </cell>
          <cell r="D171">
            <v>2833</v>
          </cell>
        </row>
        <row r="172">
          <cell r="C172">
            <v>901162104</v>
          </cell>
          <cell r="D172">
            <v>2152</v>
          </cell>
        </row>
        <row r="173">
          <cell r="C173">
            <v>901162105</v>
          </cell>
          <cell r="D173">
            <v>642</v>
          </cell>
        </row>
        <row r="174">
          <cell r="C174">
            <v>901162106</v>
          </cell>
          <cell r="D174">
            <v>2794</v>
          </cell>
        </row>
        <row r="175">
          <cell r="C175">
            <v>901162201</v>
          </cell>
          <cell r="D175">
            <v>450</v>
          </cell>
        </row>
        <row r="176">
          <cell r="C176">
            <v>901162202</v>
          </cell>
          <cell r="D176">
            <v>860</v>
          </cell>
        </row>
        <row r="177">
          <cell r="C177">
            <v>901162301</v>
          </cell>
          <cell r="D177">
            <v>1532</v>
          </cell>
        </row>
        <row r="178">
          <cell r="C178">
            <v>901162302</v>
          </cell>
          <cell r="D178">
            <v>7063</v>
          </cell>
        </row>
        <row r="179">
          <cell r="C179">
            <v>901162303</v>
          </cell>
          <cell r="D179">
            <v>2474</v>
          </cell>
        </row>
        <row r="180">
          <cell r="C180">
            <v>901162304</v>
          </cell>
          <cell r="D180">
            <v>11069</v>
          </cell>
        </row>
        <row r="181">
          <cell r="C181">
            <v>901162305</v>
          </cell>
          <cell r="D181">
            <v>1386</v>
          </cell>
        </row>
        <row r="182">
          <cell r="C182">
            <v>901162306</v>
          </cell>
          <cell r="D182">
            <v>7317</v>
          </cell>
        </row>
        <row r="183">
          <cell r="C183">
            <v>901162307</v>
          </cell>
          <cell r="D183">
            <v>2723</v>
          </cell>
        </row>
        <row r="184">
          <cell r="C184">
            <v>901162308</v>
          </cell>
          <cell r="D184">
            <v>11426</v>
          </cell>
        </row>
        <row r="185">
          <cell r="C185">
            <v>901162401</v>
          </cell>
          <cell r="D185">
            <v>2695</v>
          </cell>
        </row>
        <row r="186">
          <cell r="C186">
            <v>901162402</v>
          </cell>
          <cell r="D186">
            <v>45961</v>
          </cell>
        </row>
        <row r="187">
          <cell r="C187">
            <v>901162403</v>
          </cell>
          <cell r="D187">
            <v>10660</v>
          </cell>
        </row>
        <row r="188">
          <cell r="C188">
            <v>901162405</v>
          </cell>
          <cell r="D188">
            <v>59316</v>
          </cell>
        </row>
        <row r="189">
          <cell r="C189">
            <v>901162501</v>
          </cell>
          <cell r="D189">
            <v>1752</v>
          </cell>
        </row>
        <row r="190">
          <cell r="C190">
            <v>901162502</v>
          </cell>
          <cell r="D190">
            <v>30450</v>
          </cell>
        </row>
        <row r="191">
          <cell r="C191">
            <v>901162503</v>
          </cell>
          <cell r="D191">
            <v>8535</v>
          </cell>
        </row>
        <row r="192">
          <cell r="C192">
            <v>901162505</v>
          </cell>
          <cell r="D192">
            <v>40737</v>
          </cell>
        </row>
        <row r="193">
          <cell r="C193">
            <v>901162601</v>
          </cell>
          <cell r="D193">
            <v>552</v>
          </cell>
        </row>
        <row r="194">
          <cell r="C194">
            <v>901162602</v>
          </cell>
          <cell r="D194">
            <v>11160</v>
          </cell>
        </row>
        <row r="195">
          <cell r="C195">
            <v>901162603</v>
          </cell>
          <cell r="D195">
            <v>2008</v>
          </cell>
        </row>
        <row r="196">
          <cell r="C196">
            <v>901162605</v>
          </cell>
          <cell r="D196">
            <v>13720</v>
          </cell>
        </row>
        <row r="197">
          <cell r="C197">
            <v>901162701</v>
          </cell>
          <cell r="D197">
            <v>1766</v>
          </cell>
        </row>
        <row r="198">
          <cell r="C198">
            <v>901162702</v>
          </cell>
          <cell r="D198">
            <v>1756</v>
          </cell>
        </row>
        <row r="199">
          <cell r="C199">
            <v>901162801</v>
          </cell>
          <cell r="D199">
            <v>2896</v>
          </cell>
        </row>
        <row r="200">
          <cell r="C200">
            <v>901162802</v>
          </cell>
          <cell r="D200">
            <v>2649</v>
          </cell>
        </row>
        <row r="201">
          <cell r="C201">
            <v>901163101</v>
          </cell>
          <cell r="D201">
            <v>18401</v>
          </cell>
        </row>
        <row r="202">
          <cell r="C202">
            <v>901163102</v>
          </cell>
          <cell r="D202">
            <v>46281</v>
          </cell>
        </row>
        <row r="203">
          <cell r="C203">
            <v>901163103</v>
          </cell>
          <cell r="D203">
            <v>675</v>
          </cell>
        </row>
        <row r="204">
          <cell r="C204">
            <v>901163104</v>
          </cell>
          <cell r="D204">
            <v>65357</v>
          </cell>
        </row>
        <row r="205">
          <cell r="C205">
            <v>901163105</v>
          </cell>
          <cell r="D205">
            <v>18096</v>
          </cell>
        </row>
        <row r="206">
          <cell r="C206">
            <v>901163106</v>
          </cell>
          <cell r="D206">
            <v>46800</v>
          </cell>
        </row>
        <row r="207">
          <cell r="C207">
            <v>901163107</v>
          </cell>
          <cell r="D207">
            <v>667</v>
          </cell>
        </row>
        <row r="208">
          <cell r="C208">
            <v>901163108</v>
          </cell>
          <cell r="D208">
            <v>65563</v>
          </cell>
        </row>
        <row r="209">
          <cell r="C209">
            <v>901163201</v>
          </cell>
          <cell r="D209">
            <v>12952</v>
          </cell>
        </row>
        <row r="210">
          <cell r="C210">
            <v>901163202</v>
          </cell>
          <cell r="D210">
            <v>28236</v>
          </cell>
        </row>
        <row r="211">
          <cell r="C211">
            <v>901163203</v>
          </cell>
          <cell r="D211">
            <v>564</v>
          </cell>
        </row>
        <row r="212">
          <cell r="C212">
            <v>901163204</v>
          </cell>
          <cell r="D212">
            <v>41752</v>
          </cell>
        </row>
        <row r="213">
          <cell r="C213">
            <v>901163205</v>
          </cell>
          <cell r="D213">
            <v>12963</v>
          </cell>
        </row>
        <row r="214">
          <cell r="C214">
            <v>901163206</v>
          </cell>
          <cell r="D214">
            <v>28658</v>
          </cell>
        </row>
        <row r="215">
          <cell r="C215">
            <v>901163207</v>
          </cell>
          <cell r="D215">
            <v>562</v>
          </cell>
        </row>
        <row r="216">
          <cell r="C216">
            <v>901163208</v>
          </cell>
          <cell r="D216">
            <v>42183</v>
          </cell>
        </row>
        <row r="217">
          <cell r="C217">
            <v>901164101</v>
          </cell>
          <cell r="D217">
            <v>14059</v>
          </cell>
        </row>
        <row r="218">
          <cell r="C218">
            <v>901164102</v>
          </cell>
          <cell r="D218">
            <v>14168</v>
          </cell>
        </row>
        <row r="219">
          <cell r="C219">
            <v>901164103</v>
          </cell>
          <cell r="D219">
            <v>28227</v>
          </cell>
        </row>
        <row r="220">
          <cell r="C220">
            <v>901164104</v>
          </cell>
          <cell r="D220">
            <v>15238</v>
          </cell>
        </row>
        <row r="221">
          <cell r="C221">
            <v>901164105</v>
          </cell>
          <cell r="D221">
            <v>14143</v>
          </cell>
        </row>
        <row r="222">
          <cell r="C222">
            <v>901164106</v>
          </cell>
          <cell r="D222">
            <v>29381</v>
          </cell>
        </row>
        <row r="223">
          <cell r="C223">
            <v>901164201</v>
          </cell>
          <cell r="D223">
            <v>12448</v>
          </cell>
        </row>
        <row r="224">
          <cell r="C224">
            <v>901164202</v>
          </cell>
          <cell r="D224">
            <v>12608</v>
          </cell>
        </row>
        <row r="225">
          <cell r="C225">
            <v>901165101</v>
          </cell>
          <cell r="D225">
            <v>250</v>
          </cell>
        </row>
        <row r="226">
          <cell r="C226">
            <v>901165102</v>
          </cell>
          <cell r="D226">
            <v>4783</v>
          </cell>
        </row>
        <row r="227">
          <cell r="C227">
            <v>901165103</v>
          </cell>
          <cell r="D227">
            <v>5033</v>
          </cell>
        </row>
        <row r="228">
          <cell r="C228">
            <v>901165104</v>
          </cell>
          <cell r="D228">
            <v>330</v>
          </cell>
        </row>
        <row r="229">
          <cell r="C229">
            <v>901165105</v>
          </cell>
          <cell r="D229">
            <v>4848</v>
          </cell>
        </row>
        <row r="230">
          <cell r="C230">
            <v>901165106</v>
          </cell>
          <cell r="D230">
            <v>5178</v>
          </cell>
        </row>
        <row r="231">
          <cell r="C231">
            <v>901165201</v>
          </cell>
          <cell r="D231">
            <v>2674</v>
          </cell>
        </row>
        <row r="232">
          <cell r="C232">
            <v>901165202</v>
          </cell>
          <cell r="D232">
            <v>2888</v>
          </cell>
        </row>
        <row r="233">
          <cell r="C233">
            <v>901165203</v>
          </cell>
          <cell r="D233">
            <v>136</v>
          </cell>
        </row>
        <row r="234">
          <cell r="C234">
            <v>901165204</v>
          </cell>
          <cell r="D234">
            <v>150</v>
          </cell>
        </row>
        <row r="235">
          <cell r="C235">
            <v>901165205</v>
          </cell>
          <cell r="D235">
            <v>2341</v>
          </cell>
        </row>
        <row r="236">
          <cell r="C236">
            <v>901165206</v>
          </cell>
          <cell r="D236">
            <v>114</v>
          </cell>
        </row>
        <row r="237">
          <cell r="C237">
            <v>901166101</v>
          </cell>
          <cell r="D237">
            <v>160570</v>
          </cell>
        </row>
        <row r="238">
          <cell r="C238">
            <v>901166102</v>
          </cell>
          <cell r="D238">
            <v>157903</v>
          </cell>
        </row>
        <row r="239">
          <cell r="C239">
            <v>901166201</v>
          </cell>
          <cell r="D239">
            <v>181077</v>
          </cell>
        </row>
        <row r="240">
          <cell r="C240">
            <v>901166202</v>
          </cell>
          <cell r="D240">
            <v>252</v>
          </cell>
        </row>
        <row r="241">
          <cell r="C241">
            <v>901166203</v>
          </cell>
          <cell r="D241">
            <v>207</v>
          </cell>
        </row>
        <row r="242">
          <cell r="C242">
            <v>901166204</v>
          </cell>
          <cell r="D242">
            <v>200</v>
          </cell>
        </row>
        <row r="243">
          <cell r="C243">
            <v>901166205</v>
          </cell>
          <cell r="D243">
            <v>659</v>
          </cell>
        </row>
        <row r="244">
          <cell r="C244">
            <v>901166301</v>
          </cell>
          <cell r="D244">
            <v>51181</v>
          </cell>
        </row>
        <row r="245">
          <cell r="C245">
            <v>901166302</v>
          </cell>
          <cell r="D245">
            <v>67611</v>
          </cell>
        </row>
        <row r="246">
          <cell r="C246">
            <v>901166303</v>
          </cell>
          <cell r="D246">
            <v>17189</v>
          </cell>
        </row>
        <row r="247">
          <cell r="C247">
            <v>901166304</v>
          </cell>
          <cell r="D247">
            <v>54651</v>
          </cell>
        </row>
        <row r="248">
          <cell r="C248">
            <v>901166305</v>
          </cell>
          <cell r="D248">
            <v>190632</v>
          </cell>
        </row>
        <row r="249">
          <cell r="C249">
            <v>901170101</v>
          </cell>
          <cell r="D249">
            <v>117138</v>
          </cell>
        </row>
        <row r="250">
          <cell r="C250">
            <v>901170102</v>
          </cell>
          <cell r="D250">
            <v>238689</v>
          </cell>
        </row>
        <row r="251">
          <cell r="C251">
            <v>901170103</v>
          </cell>
          <cell r="D251">
            <v>25101</v>
          </cell>
        </row>
        <row r="252">
          <cell r="C252">
            <v>901170104</v>
          </cell>
          <cell r="D252">
            <v>20478</v>
          </cell>
        </row>
        <row r="253">
          <cell r="C253">
            <v>901170105</v>
          </cell>
          <cell r="D253">
            <v>401406</v>
          </cell>
        </row>
        <row r="254">
          <cell r="C254">
            <v>901170106</v>
          </cell>
          <cell r="D254">
            <v>117138</v>
          </cell>
        </row>
        <row r="255">
          <cell r="C255">
            <v>901170107</v>
          </cell>
          <cell r="D255">
            <v>238689</v>
          </cell>
        </row>
        <row r="256">
          <cell r="C256">
            <v>901170108</v>
          </cell>
          <cell r="D256">
            <v>25101</v>
          </cell>
        </row>
        <row r="257">
          <cell r="C257">
            <v>901170109</v>
          </cell>
          <cell r="D257">
            <v>20478</v>
          </cell>
        </row>
        <row r="258">
          <cell r="C258">
            <v>901170110</v>
          </cell>
          <cell r="D258">
            <v>401406</v>
          </cell>
        </row>
        <row r="259">
          <cell r="C259">
            <v>901170111</v>
          </cell>
          <cell r="D259">
            <v>22322</v>
          </cell>
        </row>
        <row r="260">
          <cell r="C260">
            <v>901170201</v>
          </cell>
          <cell r="D260">
            <v>513681</v>
          </cell>
        </row>
        <row r="261">
          <cell r="C261">
            <v>901170202</v>
          </cell>
          <cell r="D261">
            <v>1198096</v>
          </cell>
        </row>
        <row r="262">
          <cell r="C262">
            <v>901170301</v>
          </cell>
          <cell r="D262">
            <v>297</v>
          </cell>
        </row>
        <row r="263">
          <cell r="C263">
            <v>901170302</v>
          </cell>
          <cell r="D263">
            <v>4897</v>
          </cell>
        </row>
        <row r="264">
          <cell r="C264">
            <v>901170303</v>
          </cell>
          <cell r="D264">
            <v>46357</v>
          </cell>
        </row>
        <row r="265">
          <cell r="C265">
            <v>901170304</v>
          </cell>
          <cell r="D265">
            <v>51551</v>
          </cell>
        </row>
        <row r="266">
          <cell r="C266">
            <v>905010101</v>
          </cell>
          <cell r="D266">
            <v>143264</v>
          </cell>
        </row>
        <row r="267">
          <cell r="C267">
            <v>905010102</v>
          </cell>
          <cell r="D267">
            <v>141941</v>
          </cell>
        </row>
        <row r="268">
          <cell r="C268">
            <v>905010201</v>
          </cell>
        </row>
        <row r="269">
          <cell r="C269">
            <v>905010301</v>
          </cell>
          <cell r="D269">
            <v>4025</v>
          </cell>
        </row>
        <row r="270">
          <cell r="C270">
            <v>905010302</v>
          </cell>
          <cell r="D270">
            <v>4424</v>
          </cell>
        </row>
        <row r="271">
          <cell r="C271">
            <v>905020201</v>
          </cell>
        </row>
        <row r="272">
          <cell r="C272">
            <v>905020301</v>
          </cell>
          <cell r="D272">
            <v>36058</v>
          </cell>
        </row>
        <row r="273">
          <cell r="C273">
            <v>905030001</v>
          </cell>
        </row>
        <row r="274">
          <cell r="C274">
            <v>905030002</v>
          </cell>
        </row>
        <row r="275">
          <cell r="C275">
            <v>905030003</v>
          </cell>
        </row>
        <row r="276">
          <cell r="C276">
            <v>905030004</v>
          </cell>
        </row>
        <row r="277">
          <cell r="C277">
            <v>905030005</v>
          </cell>
        </row>
        <row r="278">
          <cell r="C278">
            <v>905030006</v>
          </cell>
        </row>
        <row r="279">
          <cell r="C279">
            <v>905030007</v>
          </cell>
          <cell r="D279">
            <v>1</v>
          </cell>
        </row>
        <row r="280">
          <cell r="C280">
            <v>905030008</v>
          </cell>
        </row>
        <row r="281">
          <cell r="C281">
            <v>905040001</v>
          </cell>
        </row>
        <row r="282">
          <cell r="C282">
            <v>999999801</v>
          </cell>
        </row>
        <row r="283">
          <cell r="C283">
            <v>999999802</v>
          </cell>
        </row>
        <row r="284">
          <cell r="C284">
            <v>999999803</v>
          </cell>
        </row>
        <row r="285">
          <cell r="C285">
            <v>999999804</v>
          </cell>
        </row>
        <row r="286">
          <cell r="C286">
            <v>999999805</v>
          </cell>
        </row>
        <row r="287">
          <cell r="C287">
            <v>999999806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Y200"/>
  <sheetViews>
    <sheetView view="pageBreakPreview" topLeftCell="N102" zoomScaleNormal="100" zoomScaleSheetLayoutView="100" workbookViewId="0">
      <selection activeCell="W114" sqref="W114"/>
    </sheetView>
  </sheetViews>
  <sheetFormatPr defaultRowHeight="15"/>
  <cols>
    <col min="1" max="1" width="42.85546875" customWidth="1"/>
    <col min="2" max="2" width="13.7109375" customWidth="1"/>
    <col min="3" max="4" width="11.42578125" customWidth="1"/>
    <col min="5" max="5" width="14" customWidth="1"/>
    <col min="6" max="6" width="22" customWidth="1"/>
    <col min="7" max="12" width="19" customWidth="1"/>
    <col min="13" max="13" width="11.42578125" customWidth="1"/>
    <col min="14" max="20" width="14" customWidth="1"/>
    <col min="21" max="21" width="22" customWidth="1"/>
    <col min="22" max="22" width="39.42578125" customWidth="1"/>
    <col min="23" max="35" width="19" customWidth="1"/>
    <col min="36" max="36" width="39.42578125" customWidth="1"/>
    <col min="37" max="44" width="19" customWidth="1"/>
    <col min="45" max="45" width="13.7109375" customWidth="1"/>
    <col min="46" max="46" width="17.140625" customWidth="1"/>
    <col min="47" max="47" width="19" customWidth="1"/>
    <col min="48" max="48" width="18.42578125" style="21" customWidth="1"/>
    <col min="49" max="49" width="15.5703125" style="653" customWidth="1"/>
    <col min="50" max="50" width="13.7109375" style="653" customWidth="1"/>
    <col min="51" max="51" width="13.140625" style="1009" customWidth="1"/>
  </cols>
  <sheetData>
    <row r="1" spans="1:49" ht="19.5" thickBot="1">
      <c r="A1" s="1711" t="s">
        <v>675</v>
      </c>
      <c r="B1" s="1712"/>
      <c r="C1" s="1712"/>
      <c r="D1" s="1712"/>
      <c r="E1" s="1712"/>
      <c r="F1" s="1712"/>
      <c r="G1" s="1712"/>
      <c r="H1" s="1712"/>
      <c r="I1" s="1712"/>
      <c r="J1" s="1712"/>
      <c r="K1" s="1712"/>
      <c r="L1" s="1712"/>
      <c r="M1" s="1712"/>
      <c r="N1" s="1712"/>
      <c r="O1" s="1712"/>
      <c r="P1" s="1712"/>
      <c r="Q1" s="1712"/>
      <c r="R1" s="1712"/>
      <c r="S1" s="1712"/>
      <c r="T1" s="1712"/>
      <c r="U1" s="1712"/>
      <c r="V1" s="1712"/>
      <c r="W1" s="1712"/>
      <c r="X1" s="1712"/>
      <c r="Y1" s="1712"/>
      <c r="Z1" s="1712"/>
      <c r="AA1" s="1712"/>
      <c r="AB1" s="1712"/>
      <c r="AC1" s="1712"/>
      <c r="AD1" s="1712"/>
      <c r="AE1" s="1712"/>
      <c r="AF1" s="1712"/>
      <c r="AG1" s="1712"/>
      <c r="AH1" s="1712"/>
      <c r="AI1" s="1712"/>
      <c r="AJ1" s="1712"/>
      <c r="AK1" s="1712"/>
      <c r="AL1" s="1712"/>
      <c r="AM1" s="1712"/>
      <c r="AN1" s="1712"/>
      <c r="AO1" s="1712"/>
      <c r="AP1" s="1712"/>
      <c r="AQ1" s="1712"/>
      <c r="AR1" s="1712"/>
      <c r="AS1" s="1712"/>
      <c r="AT1" s="1712"/>
      <c r="AU1" s="1712"/>
      <c r="AV1" s="1713"/>
    </row>
    <row r="2" spans="1:49" ht="76.5" customHeight="1">
      <c r="A2" s="1714" t="s">
        <v>673</v>
      </c>
      <c r="B2" s="1724" t="s">
        <v>158</v>
      </c>
      <c r="C2" s="1725"/>
      <c r="D2" s="1725"/>
      <c r="E2" s="1725"/>
      <c r="F2" s="1726"/>
      <c r="G2" s="1703" t="s">
        <v>618</v>
      </c>
      <c r="H2" s="1734" t="s">
        <v>726</v>
      </c>
      <c r="I2" s="1736" t="s">
        <v>727</v>
      </c>
      <c r="J2" s="1738" t="s">
        <v>637</v>
      </c>
      <c r="K2" s="1744" t="s">
        <v>616</v>
      </c>
      <c r="L2" s="1746" t="s">
        <v>617</v>
      </c>
      <c r="M2" s="1724" t="s">
        <v>656</v>
      </c>
      <c r="N2" s="1725"/>
      <c r="O2" s="1725"/>
      <c r="P2" s="1725"/>
      <c r="Q2" s="1725"/>
      <c r="R2" s="1725"/>
      <c r="S2" s="1725"/>
      <c r="T2" s="1725"/>
      <c r="U2" s="1726"/>
      <c r="V2" s="1714" t="s">
        <v>673</v>
      </c>
      <c r="W2" s="1703" t="s">
        <v>707</v>
      </c>
      <c r="X2" s="1740" t="s">
        <v>754</v>
      </c>
      <c r="Y2" s="1742" t="s">
        <v>619</v>
      </c>
      <c r="Z2" s="1705" t="s">
        <v>721</v>
      </c>
      <c r="AA2" s="1707" t="s">
        <v>723</v>
      </c>
      <c r="AB2" s="1729" t="s">
        <v>719</v>
      </c>
      <c r="AC2" s="1729" t="s">
        <v>622</v>
      </c>
      <c r="AD2" s="1731" t="s">
        <v>620</v>
      </c>
      <c r="AE2" s="1731" t="s">
        <v>621</v>
      </c>
      <c r="AF2" s="1709" t="s">
        <v>711</v>
      </c>
      <c r="AG2" s="1709" t="s">
        <v>712</v>
      </c>
      <c r="AH2" s="1722" t="s">
        <v>708</v>
      </c>
      <c r="AI2" s="1722" t="s">
        <v>615</v>
      </c>
      <c r="AJ2" s="1714" t="s">
        <v>673</v>
      </c>
      <c r="AK2" s="1703" t="s">
        <v>623</v>
      </c>
      <c r="AL2" s="1703" t="s">
        <v>728</v>
      </c>
      <c r="AM2" s="1701" t="s">
        <v>729</v>
      </c>
      <c r="AN2" s="1701" t="s">
        <v>730</v>
      </c>
      <c r="AO2" s="1720" t="s">
        <v>624</v>
      </c>
      <c r="AP2" s="1720" t="s">
        <v>639</v>
      </c>
      <c r="AQ2" s="1720" t="s">
        <v>720</v>
      </c>
      <c r="AR2" s="1720" t="s">
        <v>625</v>
      </c>
      <c r="AS2" s="1716" t="s">
        <v>614</v>
      </c>
      <c r="AT2" s="1717"/>
      <c r="AU2" s="1727" t="s">
        <v>626</v>
      </c>
      <c r="AV2" s="1718" t="s">
        <v>12</v>
      </c>
    </row>
    <row r="3" spans="1:49" ht="60.75" thickBot="1">
      <c r="A3" s="1715"/>
      <c r="B3" s="613" t="s">
        <v>716</v>
      </c>
      <c r="C3" s="613" t="s">
        <v>718</v>
      </c>
      <c r="D3" s="613" t="s">
        <v>724</v>
      </c>
      <c r="E3" s="613" t="s">
        <v>177</v>
      </c>
      <c r="F3" s="614" t="s">
        <v>12</v>
      </c>
      <c r="G3" s="1704"/>
      <c r="H3" s="1735"/>
      <c r="I3" s="1737"/>
      <c r="J3" s="1739"/>
      <c r="K3" s="1745"/>
      <c r="L3" s="1747"/>
      <c r="M3" s="613" t="s">
        <v>709</v>
      </c>
      <c r="N3" s="613" t="s">
        <v>713</v>
      </c>
      <c r="O3" s="613" t="s">
        <v>714</v>
      </c>
      <c r="P3" s="613" t="s">
        <v>715</v>
      </c>
      <c r="Q3" s="613" t="s">
        <v>717</v>
      </c>
      <c r="R3" s="613" t="s">
        <v>722</v>
      </c>
      <c r="S3" s="613" t="s">
        <v>725</v>
      </c>
      <c r="T3" s="613" t="s">
        <v>177</v>
      </c>
      <c r="U3" s="614" t="s">
        <v>12</v>
      </c>
      <c r="V3" s="1715"/>
      <c r="W3" s="1704"/>
      <c r="X3" s="1741"/>
      <c r="Y3" s="1743"/>
      <c r="Z3" s="1706"/>
      <c r="AA3" s="1708"/>
      <c r="AB3" s="1730"/>
      <c r="AC3" s="1730"/>
      <c r="AD3" s="1732"/>
      <c r="AE3" s="1732"/>
      <c r="AF3" s="1710"/>
      <c r="AG3" s="1710"/>
      <c r="AH3" s="1723"/>
      <c r="AI3" s="1723"/>
      <c r="AJ3" s="1715"/>
      <c r="AK3" s="1704"/>
      <c r="AL3" s="1704"/>
      <c r="AM3" s="1702"/>
      <c r="AN3" s="1702"/>
      <c r="AO3" s="1721"/>
      <c r="AP3" s="1721"/>
      <c r="AQ3" s="1721"/>
      <c r="AR3" s="1721"/>
      <c r="AS3" s="662" t="s">
        <v>608</v>
      </c>
      <c r="AT3" s="625" t="s">
        <v>12</v>
      </c>
      <c r="AU3" s="1728"/>
      <c r="AV3" s="1719"/>
      <c r="AW3" s="652"/>
    </row>
    <row r="4" spans="1:49" ht="30" customHeight="1">
      <c r="A4" s="6" t="s">
        <v>159</v>
      </c>
      <c r="B4" s="543"/>
      <c r="C4" s="543"/>
      <c r="D4" s="543"/>
      <c r="E4" s="543"/>
      <c r="F4" s="615">
        <f t="shared" ref="F4:F12" si="0">SUM(B4:E4)</f>
        <v>0</v>
      </c>
      <c r="G4" s="566"/>
      <c r="H4" s="874"/>
      <c r="I4" s="900"/>
      <c r="J4" s="848"/>
      <c r="K4" s="797"/>
      <c r="L4" s="926"/>
      <c r="M4" s="543">
        <f t="shared" ref="M4:R4" si="1">81530*3</f>
        <v>244590</v>
      </c>
      <c r="N4" s="543">
        <f t="shared" si="1"/>
        <v>244590</v>
      </c>
      <c r="O4" s="543">
        <f t="shared" si="1"/>
        <v>244590</v>
      </c>
      <c r="P4" s="543">
        <f t="shared" si="1"/>
        <v>244590</v>
      </c>
      <c r="Q4" s="543">
        <f t="shared" si="1"/>
        <v>244590</v>
      </c>
      <c r="R4" s="543">
        <f t="shared" si="1"/>
        <v>244590</v>
      </c>
      <c r="S4" s="543">
        <v>46181</v>
      </c>
      <c r="T4" s="543"/>
      <c r="U4" s="615">
        <f t="shared" ref="U4:U12" si="2">SUM(M4:T4)</f>
        <v>1513721</v>
      </c>
      <c r="V4" s="6" t="s">
        <v>159</v>
      </c>
      <c r="W4" s="566"/>
      <c r="X4" s="1455"/>
      <c r="Y4" s="952"/>
      <c r="Z4" s="978">
        <f>164000+(176000*11)</f>
        <v>2100000</v>
      </c>
      <c r="AA4" s="1347">
        <f>20000+97500</f>
        <v>117500</v>
      </c>
      <c r="AB4" s="771">
        <f>235800+(235800*11)</f>
        <v>2829600</v>
      </c>
      <c r="AC4" s="771"/>
      <c r="AD4" s="1399"/>
      <c r="AE4" s="1399"/>
      <c r="AF4" s="1373"/>
      <c r="AG4" s="1373">
        <f>344421+(390000*11)</f>
        <v>4634421</v>
      </c>
      <c r="AH4" s="741">
        <f>205000+(220600*11)</f>
        <v>2631600</v>
      </c>
      <c r="AI4" s="741"/>
      <c r="AJ4" s="6" t="s">
        <v>159</v>
      </c>
      <c r="AK4" s="566"/>
      <c r="AL4" s="566"/>
      <c r="AM4" s="1425"/>
      <c r="AN4" s="1425"/>
      <c r="AO4" s="715"/>
      <c r="AP4" s="715"/>
      <c r="AQ4" s="715">
        <f>19500+(210600*11)</f>
        <v>2336100</v>
      </c>
      <c r="AR4" s="715"/>
      <c r="AS4" s="663"/>
      <c r="AT4" s="626">
        <f>SUM(AS4:AS4)</f>
        <v>0</v>
      </c>
      <c r="AU4" s="689"/>
      <c r="AV4" s="25">
        <f>SUM(B4:AU4)-SUM(M4:T4)-SUM(B4:E4)</f>
        <v>16162942</v>
      </c>
      <c r="AW4" s="654"/>
    </row>
    <row r="5" spans="1:49" ht="15.75" customHeight="1">
      <c r="A5" s="1" t="s">
        <v>710</v>
      </c>
      <c r="B5" s="543"/>
      <c r="C5" s="543"/>
      <c r="D5" s="543"/>
      <c r="E5" s="543"/>
      <c r="F5" s="567">
        <f t="shared" si="0"/>
        <v>0</v>
      </c>
      <c r="G5" s="540"/>
      <c r="H5" s="875"/>
      <c r="I5" s="901"/>
      <c r="J5" s="849"/>
      <c r="K5" s="798"/>
      <c r="L5" s="927"/>
      <c r="M5" s="543"/>
      <c r="N5" s="543"/>
      <c r="O5" s="543"/>
      <c r="P5" s="543"/>
      <c r="Q5" s="543"/>
      <c r="R5" s="543"/>
      <c r="S5" s="543"/>
      <c r="T5" s="543"/>
      <c r="U5" s="567">
        <f t="shared" si="2"/>
        <v>0</v>
      </c>
      <c r="V5" s="1" t="s">
        <v>710</v>
      </c>
      <c r="W5" s="540"/>
      <c r="X5" s="1456"/>
      <c r="Y5" s="953"/>
      <c r="Z5" s="979">
        <v>176000</v>
      </c>
      <c r="AA5" s="1348"/>
      <c r="AB5" s="772">
        <v>235800</v>
      </c>
      <c r="AC5" s="772"/>
      <c r="AD5" s="1400"/>
      <c r="AE5" s="1400"/>
      <c r="AF5" s="1374"/>
      <c r="AG5" s="1374">
        <v>390000</v>
      </c>
      <c r="AH5" s="742">
        <f>220600</f>
        <v>220600</v>
      </c>
      <c r="AI5" s="742"/>
      <c r="AJ5" s="1" t="s">
        <v>710</v>
      </c>
      <c r="AK5" s="540"/>
      <c r="AL5" s="540"/>
      <c r="AM5" s="1426"/>
      <c r="AN5" s="1426"/>
      <c r="AO5" s="716"/>
      <c r="AP5" s="716"/>
      <c r="AQ5" s="716">
        <v>210600</v>
      </c>
      <c r="AR5" s="716"/>
      <c r="AS5" s="664"/>
      <c r="AT5" s="627">
        <f>SUM(AS5:AS5)</f>
        <v>0</v>
      </c>
      <c r="AU5" s="690"/>
      <c r="AV5" s="1019">
        <f t="shared" ref="AV5:AV12" si="3">SUM(B5:AU5)-SUM(M5:T5)-SUM(B5:E5)</f>
        <v>1233000</v>
      </c>
      <c r="AW5" s="654"/>
    </row>
    <row r="6" spans="1:49" ht="30" customHeight="1">
      <c r="A6" s="2" t="s">
        <v>14</v>
      </c>
      <c r="B6" s="544"/>
      <c r="C6" s="544"/>
      <c r="D6" s="544"/>
      <c r="E6" s="544"/>
      <c r="F6" s="568">
        <f t="shared" si="0"/>
        <v>0</v>
      </c>
      <c r="G6" s="540"/>
      <c r="H6" s="875"/>
      <c r="I6" s="901"/>
      <c r="J6" s="849"/>
      <c r="K6" s="798"/>
      <c r="L6" s="927"/>
      <c r="M6" s="544"/>
      <c r="N6" s="544"/>
      <c r="O6" s="544"/>
      <c r="P6" s="544"/>
      <c r="Q6" s="544"/>
      <c r="R6" s="544"/>
      <c r="S6" s="544"/>
      <c r="T6" s="544"/>
      <c r="U6" s="568">
        <f t="shared" si="2"/>
        <v>0</v>
      </c>
      <c r="V6" s="2" t="s">
        <v>14</v>
      </c>
      <c r="W6" s="540"/>
      <c r="X6" s="1456"/>
      <c r="Y6" s="953"/>
      <c r="Z6" s="979"/>
      <c r="AA6" s="1348"/>
      <c r="AB6" s="772"/>
      <c r="AC6" s="772"/>
      <c r="AD6" s="1400"/>
      <c r="AE6" s="1400"/>
      <c r="AF6" s="1374"/>
      <c r="AG6" s="1374"/>
      <c r="AH6" s="742"/>
      <c r="AI6" s="742"/>
      <c r="AJ6" s="2" t="s">
        <v>14</v>
      </c>
      <c r="AK6" s="540"/>
      <c r="AL6" s="540"/>
      <c r="AM6" s="1426"/>
      <c r="AN6" s="1426"/>
      <c r="AO6" s="716"/>
      <c r="AP6" s="716"/>
      <c r="AQ6" s="716"/>
      <c r="AR6" s="716"/>
      <c r="AS6" s="665"/>
      <c r="AT6" s="627">
        <f>SUM(AS6:AS6)</f>
        <v>0</v>
      </c>
      <c r="AU6" s="690"/>
      <c r="AV6" s="1019">
        <f t="shared" si="3"/>
        <v>0</v>
      </c>
      <c r="AW6" s="654"/>
    </row>
    <row r="7" spans="1:49" ht="15.75" customHeight="1">
      <c r="A7" s="2" t="s">
        <v>593</v>
      </c>
      <c r="B7" s="544"/>
      <c r="C7" s="544"/>
      <c r="D7" s="544"/>
      <c r="E7" s="544"/>
      <c r="F7" s="567">
        <f t="shared" si="0"/>
        <v>0</v>
      </c>
      <c r="G7" s="540"/>
      <c r="H7" s="875"/>
      <c r="I7" s="901"/>
      <c r="J7" s="849"/>
      <c r="K7" s="798"/>
      <c r="L7" s="927"/>
      <c r="M7" s="544"/>
      <c r="N7" s="544"/>
      <c r="O7" s="544"/>
      <c r="P7" s="544"/>
      <c r="Q7" s="544"/>
      <c r="R7" s="544"/>
      <c r="S7" s="544"/>
      <c r="T7" s="544"/>
      <c r="U7" s="567">
        <f t="shared" si="2"/>
        <v>0</v>
      </c>
      <c r="V7" s="2" t="s">
        <v>593</v>
      </c>
      <c r="W7" s="540"/>
      <c r="X7" s="1456"/>
      <c r="Y7" s="953"/>
      <c r="Z7" s="979"/>
      <c r="AA7" s="1348"/>
      <c r="AB7" s="772"/>
      <c r="AC7" s="772"/>
      <c r="AD7" s="1400"/>
      <c r="AE7" s="1400"/>
      <c r="AF7" s="1374"/>
      <c r="AG7" s="1374"/>
      <c r="AH7" s="742"/>
      <c r="AI7" s="742"/>
      <c r="AJ7" s="2" t="s">
        <v>593</v>
      </c>
      <c r="AK7" s="540"/>
      <c r="AL7" s="540"/>
      <c r="AM7" s="1426"/>
      <c r="AN7" s="1426"/>
      <c r="AO7" s="716"/>
      <c r="AP7" s="716"/>
      <c r="AQ7" s="716"/>
      <c r="AR7" s="716"/>
      <c r="AS7" s="665"/>
      <c r="AT7" s="627">
        <f>SUM(AS7:AS7)</f>
        <v>0</v>
      </c>
      <c r="AU7" s="690"/>
      <c r="AV7" s="1019">
        <f t="shared" si="3"/>
        <v>0</v>
      </c>
      <c r="AW7" s="654"/>
    </row>
    <row r="8" spans="1:49" ht="15.75" customHeight="1">
      <c r="A8" s="2" t="s">
        <v>160</v>
      </c>
      <c r="B8" s="544"/>
      <c r="C8" s="544"/>
      <c r="D8" s="544"/>
      <c r="E8" s="544"/>
      <c r="F8" s="567">
        <f t="shared" si="0"/>
        <v>0</v>
      </c>
      <c r="G8" s="540"/>
      <c r="H8" s="875"/>
      <c r="I8" s="901"/>
      <c r="J8" s="849"/>
      <c r="K8" s="798"/>
      <c r="L8" s="927"/>
      <c r="M8" s="544"/>
      <c r="N8" s="544"/>
      <c r="O8" s="544"/>
      <c r="P8" s="544"/>
      <c r="Q8" s="544"/>
      <c r="R8" s="544"/>
      <c r="S8" s="544"/>
      <c r="T8" s="544"/>
      <c r="U8" s="567">
        <f t="shared" si="2"/>
        <v>0</v>
      </c>
      <c r="V8" s="2" t="s">
        <v>160</v>
      </c>
      <c r="W8" s="540"/>
      <c r="X8" s="1456"/>
      <c r="Y8" s="953"/>
      <c r="Z8" s="979">
        <v>167364</v>
      </c>
      <c r="AA8" s="1348"/>
      <c r="AB8" s="772">
        <v>167364</v>
      </c>
      <c r="AC8" s="772"/>
      <c r="AD8" s="1400"/>
      <c r="AE8" s="1400"/>
      <c r="AF8" s="1374"/>
      <c r="AG8" s="1374">
        <v>150000</v>
      </c>
      <c r="AH8" s="742">
        <v>167364</v>
      </c>
      <c r="AI8" s="742"/>
      <c r="AJ8" s="2" t="s">
        <v>160</v>
      </c>
      <c r="AK8" s="540"/>
      <c r="AL8" s="540"/>
      <c r="AM8" s="1426"/>
      <c r="AN8" s="1426"/>
      <c r="AO8" s="716"/>
      <c r="AP8" s="716"/>
      <c r="AQ8" s="716">
        <v>167364</v>
      </c>
      <c r="AR8" s="716"/>
      <c r="AS8" s="665"/>
      <c r="AT8" s="627">
        <f>SUM(AS8:AS8)</f>
        <v>0</v>
      </c>
      <c r="AU8" s="690"/>
      <c r="AV8" s="1019">
        <f t="shared" si="3"/>
        <v>819456</v>
      </c>
      <c r="AW8" s="654"/>
    </row>
    <row r="9" spans="1:49" ht="15.75" customHeight="1">
      <c r="A9" s="2" t="s">
        <v>15</v>
      </c>
      <c r="B9" s="544"/>
      <c r="C9" s="544"/>
      <c r="D9" s="544"/>
      <c r="E9" s="544"/>
      <c r="F9" s="567">
        <f t="shared" si="0"/>
        <v>0</v>
      </c>
      <c r="G9" s="540"/>
      <c r="H9" s="875"/>
      <c r="I9" s="901"/>
      <c r="J9" s="849"/>
      <c r="K9" s="798"/>
      <c r="L9" s="927"/>
      <c r="M9" s="544"/>
      <c r="N9" s="544"/>
      <c r="O9" s="544"/>
      <c r="P9" s="544"/>
      <c r="Q9" s="544"/>
      <c r="R9" s="544"/>
      <c r="S9" s="544"/>
      <c r="T9" s="544"/>
      <c r="U9" s="567">
        <f t="shared" si="2"/>
        <v>0</v>
      </c>
      <c r="V9" s="2" t="s">
        <v>15</v>
      </c>
      <c r="W9" s="540"/>
      <c r="X9" s="1456"/>
      <c r="Y9" s="953"/>
      <c r="Z9" s="979"/>
      <c r="AA9" s="1348"/>
      <c r="AB9" s="772"/>
      <c r="AC9" s="772"/>
      <c r="AD9" s="1400"/>
      <c r="AE9" s="1400"/>
      <c r="AF9" s="1374"/>
      <c r="AG9" s="1374"/>
      <c r="AH9" s="742"/>
      <c r="AI9" s="742"/>
      <c r="AJ9" s="2" t="s">
        <v>15</v>
      </c>
      <c r="AK9" s="540"/>
      <c r="AL9" s="540"/>
      <c r="AM9" s="1426"/>
      <c r="AN9" s="1426"/>
      <c r="AO9" s="716"/>
      <c r="AP9" s="716"/>
      <c r="AQ9" s="716"/>
      <c r="AR9" s="716"/>
      <c r="AS9" s="665"/>
      <c r="AT9" s="627"/>
      <c r="AU9" s="690"/>
      <c r="AV9" s="1019">
        <f t="shared" si="3"/>
        <v>0</v>
      </c>
      <c r="AW9" s="654"/>
    </row>
    <row r="10" spans="1:49" ht="15.75" customHeight="1">
      <c r="A10" s="2" t="s">
        <v>16</v>
      </c>
      <c r="B10" s="544"/>
      <c r="C10" s="544"/>
      <c r="D10" s="544"/>
      <c r="E10" s="544"/>
      <c r="F10" s="567">
        <f t="shared" si="0"/>
        <v>0</v>
      </c>
      <c r="G10" s="540"/>
      <c r="H10" s="875"/>
      <c r="I10" s="901"/>
      <c r="J10" s="849"/>
      <c r="K10" s="798"/>
      <c r="L10" s="927"/>
      <c r="M10" s="544"/>
      <c r="N10" s="544"/>
      <c r="O10" s="544"/>
      <c r="P10" s="544"/>
      <c r="Q10" s="544"/>
      <c r="R10" s="544"/>
      <c r="S10" s="544"/>
      <c r="T10" s="544"/>
      <c r="U10" s="567">
        <f t="shared" si="2"/>
        <v>0</v>
      </c>
      <c r="V10" s="2" t="s">
        <v>16</v>
      </c>
      <c r="W10" s="540"/>
      <c r="X10" s="1456"/>
      <c r="Y10" s="953"/>
      <c r="Z10" s="979"/>
      <c r="AA10" s="1348"/>
      <c r="AB10" s="772"/>
      <c r="AC10" s="772"/>
      <c r="AD10" s="1400"/>
      <c r="AE10" s="1400"/>
      <c r="AF10" s="1374"/>
      <c r="AG10" s="1374">
        <f>3600*12</f>
        <v>43200</v>
      </c>
      <c r="AH10" s="742"/>
      <c r="AI10" s="742"/>
      <c r="AJ10" s="2" t="s">
        <v>16</v>
      </c>
      <c r="AK10" s="540"/>
      <c r="AL10" s="540"/>
      <c r="AM10" s="1426"/>
      <c r="AN10" s="1426"/>
      <c r="AO10" s="716"/>
      <c r="AP10" s="716"/>
      <c r="AQ10" s="716"/>
      <c r="AR10" s="716"/>
      <c r="AS10" s="665"/>
      <c r="AT10" s="627">
        <f>SUM(AS10:AS10)</f>
        <v>0</v>
      </c>
      <c r="AU10" s="690"/>
      <c r="AV10" s="1019">
        <f t="shared" si="3"/>
        <v>43200</v>
      </c>
      <c r="AW10" s="654"/>
    </row>
    <row r="11" spans="1:49" ht="30" customHeight="1">
      <c r="A11" s="2" t="s">
        <v>607</v>
      </c>
      <c r="B11" s="544"/>
      <c r="C11" s="544"/>
      <c r="D11" s="544"/>
      <c r="E11" s="544"/>
      <c r="F11" s="567">
        <f t="shared" si="0"/>
        <v>0</v>
      </c>
      <c r="G11" s="540"/>
      <c r="H11" s="875"/>
      <c r="I11" s="901"/>
      <c r="J11" s="849"/>
      <c r="K11" s="798"/>
      <c r="L11" s="927"/>
      <c r="M11" s="544"/>
      <c r="N11" s="544"/>
      <c r="O11" s="544"/>
      <c r="P11" s="544"/>
      <c r="Q11" s="544"/>
      <c r="R11" s="544"/>
      <c r="S11" s="544"/>
      <c r="T11" s="544"/>
      <c r="U11" s="567">
        <f t="shared" si="2"/>
        <v>0</v>
      </c>
      <c r="V11" s="2" t="s">
        <v>607</v>
      </c>
      <c r="W11" s="540"/>
      <c r="X11" s="1456"/>
      <c r="Y11" s="953"/>
      <c r="Z11" s="979"/>
      <c r="AA11" s="1348"/>
      <c r="AB11" s="772"/>
      <c r="AC11" s="772"/>
      <c r="AD11" s="1400"/>
      <c r="AE11" s="1400"/>
      <c r="AF11" s="1374"/>
      <c r="AG11" s="1374"/>
      <c r="AH11" s="742"/>
      <c r="AI11" s="742"/>
      <c r="AJ11" s="2" t="s">
        <v>607</v>
      </c>
      <c r="AK11" s="540"/>
      <c r="AL11" s="540"/>
      <c r="AM11" s="1426"/>
      <c r="AN11" s="1426"/>
      <c r="AO11" s="716"/>
      <c r="AP11" s="716"/>
      <c r="AQ11" s="716"/>
      <c r="AR11" s="716"/>
      <c r="AS11" s="665"/>
      <c r="AT11" s="627"/>
      <c r="AU11" s="690"/>
      <c r="AV11" s="1019">
        <f t="shared" si="3"/>
        <v>0</v>
      </c>
      <c r="AW11" s="654"/>
    </row>
    <row r="12" spans="1:49" ht="30.75" customHeight="1" thickBot="1">
      <c r="A12" s="4" t="s">
        <v>606</v>
      </c>
      <c r="B12" s="558"/>
      <c r="C12" s="558"/>
      <c r="D12" s="558"/>
      <c r="E12" s="558"/>
      <c r="F12" s="569">
        <f t="shared" si="0"/>
        <v>0</v>
      </c>
      <c r="G12" s="570"/>
      <c r="H12" s="876"/>
      <c r="I12" s="902"/>
      <c r="J12" s="850"/>
      <c r="K12" s="799"/>
      <c r="L12" s="928"/>
      <c r="M12" s="558"/>
      <c r="N12" s="558"/>
      <c r="O12" s="558"/>
      <c r="P12" s="558"/>
      <c r="Q12" s="558"/>
      <c r="R12" s="558"/>
      <c r="S12" s="558"/>
      <c r="T12" s="558"/>
      <c r="U12" s="569">
        <f t="shared" si="2"/>
        <v>0</v>
      </c>
      <c r="V12" s="4" t="s">
        <v>606</v>
      </c>
      <c r="W12" s="570"/>
      <c r="X12" s="1457"/>
      <c r="Y12" s="954"/>
      <c r="Z12" s="980"/>
      <c r="AA12" s="1349"/>
      <c r="AB12" s="773"/>
      <c r="AC12" s="773"/>
      <c r="AD12" s="1401"/>
      <c r="AE12" s="1401"/>
      <c r="AF12" s="1375"/>
      <c r="AG12" s="1375"/>
      <c r="AH12" s="743"/>
      <c r="AI12" s="743"/>
      <c r="AJ12" s="4" t="s">
        <v>606</v>
      </c>
      <c r="AK12" s="570"/>
      <c r="AL12" s="570"/>
      <c r="AM12" s="1427"/>
      <c r="AN12" s="1427"/>
      <c r="AO12" s="717"/>
      <c r="AP12" s="717"/>
      <c r="AQ12" s="717"/>
      <c r="AR12" s="717"/>
      <c r="AS12" s="666"/>
      <c r="AT12" s="628">
        <f t="shared" ref="AT12:AT38" si="4">SUM(AS12:AS12)</f>
        <v>0</v>
      </c>
      <c r="AU12" s="691"/>
      <c r="AV12" s="1020">
        <f t="shared" si="3"/>
        <v>0</v>
      </c>
      <c r="AW12" s="654"/>
    </row>
    <row r="13" spans="1:49" ht="16.5" customHeight="1" thickBot="1">
      <c r="A13" s="560" t="s">
        <v>17</v>
      </c>
      <c r="B13" s="561">
        <f t="shared" ref="B13:U13" si="5">SUM(B4:B12)</f>
        <v>0</v>
      </c>
      <c r="C13" s="561">
        <f t="shared" si="5"/>
        <v>0</v>
      </c>
      <c r="D13" s="561">
        <f t="shared" si="5"/>
        <v>0</v>
      </c>
      <c r="E13" s="561">
        <f t="shared" si="5"/>
        <v>0</v>
      </c>
      <c r="F13" s="562">
        <f t="shared" si="5"/>
        <v>0</v>
      </c>
      <c r="G13" s="563">
        <f t="shared" si="5"/>
        <v>0</v>
      </c>
      <c r="H13" s="877">
        <f t="shared" si="5"/>
        <v>0</v>
      </c>
      <c r="I13" s="903">
        <f t="shared" si="5"/>
        <v>0</v>
      </c>
      <c r="J13" s="851">
        <f t="shared" si="5"/>
        <v>0</v>
      </c>
      <c r="K13" s="800">
        <f t="shared" si="5"/>
        <v>0</v>
      </c>
      <c r="L13" s="929">
        <f t="shared" si="5"/>
        <v>0</v>
      </c>
      <c r="M13" s="561">
        <f t="shared" si="5"/>
        <v>244590</v>
      </c>
      <c r="N13" s="561">
        <f t="shared" si="5"/>
        <v>244590</v>
      </c>
      <c r="O13" s="561">
        <f t="shared" si="5"/>
        <v>244590</v>
      </c>
      <c r="P13" s="561">
        <f t="shared" si="5"/>
        <v>244590</v>
      </c>
      <c r="Q13" s="561">
        <f t="shared" si="5"/>
        <v>244590</v>
      </c>
      <c r="R13" s="561">
        <f t="shared" si="5"/>
        <v>244590</v>
      </c>
      <c r="S13" s="561">
        <f t="shared" si="5"/>
        <v>46181</v>
      </c>
      <c r="T13" s="561">
        <f t="shared" si="5"/>
        <v>0</v>
      </c>
      <c r="U13" s="562">
        <f t="shared" si="5"/>
        <v>1513721</v>
      </c>
      <c r="V13" s="560" t="s">
        <v>17</v>
      </c>
      <c r="W13" s="563">
        <f>SUM(W4:W12)</f>
        <v>0</v>
      </c>
      <c r="X13" s="1458">
        <f t="shared" ref="X13:AI13" si="6">SUM(X4:X12)</f>
        <v>0</v>
      </c>
      <c r="Y13" s="955">
        <f t="shared" si="6"/>
        <v>0</v>
      </c>
      <c r="Z13" s="981">
        <f t="shared" si="6"/>
        <v>2443364</v>
      </c>
      <c r="AA13" s="1350">
        <f t="shared" si="6"/>
        <v>117500</v>
      </c>
      <c r="AB13" s="774">
        <f t="shared" si="6"/>
        <v>3232764</v>
      </c>
      <c r="AC13" s="774">
        <f t="shared" si="6"/>
        <v>0</v>
      </c>
      <c r="AD13" s="1402">
        <f t="shared" si="6"/>
        <v>0</v>
      </c>
      <c r="AE13" s="1402">
        <f t="shared" si="6"/>
        <v>0</v>
      </c>
      <c r="AF13" s="1376">
        <f t="shared" si="6"/>
        <v>0</v>
      </c>
      <c r="AG13" s="1376">
        <f t="shared" si="6"/>
        <v>5217621</v>
      </c>
      <c r="AH13" s="744">
        <f t="shared" si="6"/>
        <v>3019564</v>
      </c>
      <c r="AI13" s="744">
        <f t="shared" si="6"/>
        <v>0</v>
      </c>
      <c r="AJ13" s="560" t="s">
        <v>17</v>
      </c>
      <c r="AK13" s="563">
        <f t="shared" ref="AK13:AS13" si="7">SUM(AK4:AK12)</f>
        <v>0</v>
      </c>
      <c r="AL13" s="563">
        <f t="shared" si="7"/>
        <v>0</v>
      </c>
      <c r="AM13" s="1428">
        <f t="shared" si="7"/>
        <v>0</v>
      </c>
      <c r="AN13" s="1428">
        <f t="shared" si="7"/>
        <v>0</v>
      </c>
      <c r="AO13" s="718">
        <f t="shared" si="7"/>
        <v>0</v>
      </c>
      <c r="AP13" s="718">
        <f t="shared" si="7"/>
        <v>0</v>
      </c>
      <c r="AQ13" s="718">
        <f t="shared" si="7"/>
        <v>2714064</v>
      </c>
      <c r="AR13" s="718">
        <f t="shared" si="7"/>
        <v>0</v>
      </c>
      <c r="AS13" s="667">
        <f t="shared" si="7"/>
        <v>0</v>
      </c>
      <c r="AT13" s="574">
        <f t="shared" si="4"/>
        <v>0</v>
      </c>
      <c r="AU13" s="692">
        <f>SUM(AU4:AU12)</f>
        <v>0</v>
      </c>
      <c r="AV13" s="25">
        <f>SUM(B13:AU13)-SUM(M13:T13)-SUM(B13:E13)</f>
        <v>18258598</v>
      </c>
      <c r="AW13" s="654"/>
    </row>
    <row r="14" spans="1:49" ht="15.75" customHeight="1">
      <c r="A14" s="3" t="s">
        <v>18</v>
      </c>
      <c r="B14" s="546">
        <f>498600*12+498600+(74790*12)</f>
        <v>7379280</v>
      </c>
      <c r="C14" s="546">
        <f>65000*12+65000+9750*12</f>
        <v>962000</v>
      </c>
      <c r="D14" s="546"/>
      <c r="E14" s="545"/>
      <c r="F14" s="567">
        <f>SUM(B14:E14)</f>
        <v>8341280</v>
      </c>
      <c r="G14" s="566"/>
      <c r="H14" s="874"/>
      <c r="I14" s="900"/>
      <c r="J14" s="848"/>
      <c r="K14" s="797"/>
      <c r="L14" s="926"/>
      <c r="M14" s="546"/>
      <c r="N14" s="545"/>
      <c r="O14" s="545"/>
      <c r="P14" s="545"/>
      <c r="Q14" s="545"/>
      <c r="R14" s="545"/>
      <c r="S14" s="545"/>
      <c r="T14" s="545"/>
      <c r="U14" s="567">
        <f>SUM(M14:T14)</f>
        <v>0</v>
      </c>
      <c r="V14" s="3" t="s">
        <v>18</v>
      </c>
      <c r="W14" s="566"/>
      <c r="X14" s="1455"/>
      <c r="Y14" s="952"/>
      <c r="Z14" s="978"/>
      <c r="AA14" s="1347"/>
      <c r="AB14" s="771"/>
      <c r="AC14" s="771"/>
      <c r="AD14" s="1399"/>
      <c r="AE14" s="1399"/>
      <c r="AF14" s="1373"/>
      <c r="AG14" s="1373"/>
      <c r="AH14" s="741"/>
      <c r="AI14" s="741"/>
      <c r="AJ14" s="3" t="s">
        <v>18</v>
      </c>
      <c r="AK14" s="566"/>
      <c r="AL14" s="566"/>
      <c r="AM14" s="1425"/>
      <c r="AN14" s="1425"/>
      <c r="AO14" s="715"/>
      <c r="AP14" s="715"/>
      <c r="AQ14" s="715"/>
      <c r="AR14" s="715"/>
      <c r="AS14" s="666"/>
      <c r="AT14" s="626">
        <f t="shared" si="4"/>
        <v>0</v>
      </c>
      <c r="AU14" s="689"/>
      <c r="AV14" s="25">
        <f>SUM(B14:AU14)-SUM(M14:T14)-SUM(B14:E14)</f>
        <v>8341280</v>
      </c>
      <c r="AW14" s="654"/>
    </row>
    <row r="15" spans="1:49" ht="45" customHeight="1">
      <c r="A15" s="4" t="s">
        <v>161</v>
      </c>
      <c r="B15" s="545"/>
      <c r="C15" s="546"/>
      <c r="D15" s="546">
        <f>80000*3</f>
        <v>240000</v>
      </c>
      <c r="E15" s="546"/>
      <c r="F15" s="567">
        <f>SUM(B15:E15)</f>
        <v>240000</v>
      </c>
      <c r="G15" s="540"/>
      <c r="H15" s="875"/>
      <c r="I15" s="901"/>
      <c r="J15" s="849"/>
      <c r="K15" s="798"/>
      <c r="L15" s="927"/>
      <c r="M15" s="545"/>
      <c r="N15" s="546"/>
      <c r="O15" s="546"/>
      <c r="P15" s="546"/>
      <c r="Q15" s="546"/>
      <c r="R15" s="546"/>
      <c r="S15" s="546"/>
      <c r="T15" s="546"/>
      <c r="U15" s="567">
        <f>SUM(M15:T15)</f>
        <v>0</v>
      </c>
      <c r="V15" s="4" t="s">
        <v>161</v>
      </c>
      <c r="W15" s="540"/>
      <c r="X15" s="1456"/>
      <c r="Y15" s="953"/>
      <c r="Z15" s="979"/>
      <c r="AA15" s="1348"/>
      <c r="AB15" s="772"/>
      <c r="AC15" s="772"/>
      <c r="AD15" s="1400"/>
      <c r="AE15" s="1400"/>
      <c r="AF15" s="1374"/>
      <c r="AG15" s="1374"/>
      <c r="AH15" s="742"/>
      <c r="AI15" s="742"/>
      <c r="AJ15" s="4" t="s">
        <v>161</v>
      </c>
      <c r="AK15" s="540"/>
      <c r="AL15" s="540"/>
      <c r="AM15" s="1426"/>
      <c r="AN15" s="1426"/>
      <c r="AO15" s="716"/>
      <c r="AP15" s="716"/>
      <c r="AQ15" s="716"/>
      <c r="AR15" s="716"/>
      <c r="AS15" s="665"/>
      <c r="AT15" s="627">
        <f t="shared" si="4"/>
        <v>0</v>
      </c>
      <c r="AU15" s="690"/>
      <c r="AV15" s="1019">
        <f t="shared" ref="AV15:AV80" si="8">SUM(B15:AU15)-SUM(M15:T15)-SUM(B15:E15)</f>
        <v>240000</v>
      </c>
      <c r="AW15" s="654"/>
    </row>
    <row r="16" spans="1:49" ht="30.75" customHeight="1" thickBot="1">
      <c r="A16" s="4" t="s">
        <v>594</v>
      </c>
      <c r="B16" s="558"/>
      <c r="C16" s="558"/>
      <c r="D16" s="558"/>
      <c r="E16" s="558"/>
      <c r="F16" s="567">
        <f>SUM(B16:E16)</f>
        <v>0</v>
      </c>
      <c r="G16" s="570"/>
      <c r="H16" s="876"/>
      <c r="I16" s="902"/>
      <c r="J16" s="850">
        <v>100000</v>
      </c>
      <c r="K16" s="799"/>
      <c r="L16" s="928"/>
      <c r="M16" s="558"/>
      <c r="N16" s="558"/>
      <c r="O16" s="558"/>
      <c r="P16" s="558"/>
      <c r="Q16" s="558"/>
      <c r="R16" s="558"/>
      <c r="S16" s="558"/>
      <c r="T16" s="558"/>
      <c r="U16" s="567">
        <f>SUM(M16:T16)</f>
        <v>0</v>
      </c>
      <c r="V16" s="4" t="s">
        <v>594</v>
      </c>
      <c r="W16" s="570"/>
      <c r="X16" s="1457"/>
      <c r="Y16" s="954"/>
      <c r="Z16" s="980"/>
      <c r="AA16" s="1349"/>
      <c r="AB16" s="773"/>
      <c r="AC16" s="773"/>
      <c r="AD16" s="1401"/>
      <c r="AE16" s="1401"/>
      <c r="AF16" s="1375"/>
      <c r="AG16" s="1375"/>
      <c r="AH16" s="743"/>
      <c r="AI16" s="743">
        <v>100000</v>
      </c>
      <c r="AJ16" s="4" t="s">
        <v>594</v>
      </c>
      <c r="AK16" s="570"/>
      <c r="AL16" s="570"/>
      <c r="AM16" s="1427"/>
      <c r="AN16" s="1427">
        <v>200000</v>
      </c>
      <c r="AO16" s="717"/>
      <c r="AP16" s="717"/>
      <c r="AQ16" s="717"/>
      <c r="AR16" s="717"/>
      <c r="AS16" s="668"/>
      <c r="AT16" s="628">
        <f t="shared" si="4"/>
        <v>0</v>
      </c>
      <c r="AU16" s="691"/>
      <c r="AV16" s="1020">
        <f t="shared" si="8"/>
        <v>400000</v>
      </c>
      <c r="AW16" s="654"/>
    </row>
    <row r="17" spans="1:51" ht="16.5" customHeight="1" thickBot="1">
      <c r="A17" s="560" t="s">
        <v>19</v>
      </c>
      <c r="B17" s="561">
        <f>SUM(B16:B16)</f>
        <v>0</v>
      </c>
      <c r="C17" s="561">
        <f>SUM(C16:C16)</f>
        <v>0</v>
      </c>
      <c r="D17" s="561">
        <f>SUM(D16:D16)</f>
        <v>0</v>
      </c>
      <c r="E17" s="561">
        <f>SUM(E16:E16)</f>
        <v>0</v>
      </c>
      <c r="F17" s="562">
        <f t="shared" ref="F17:L17" si="9">SUM(F14:F16)</f>
        <v>8581280</v>
      </c>
      <c r="G17" s="563">
        <f t="shared" si="9"/>
        <v>0</v>
      </c>
      <c r="H17" s="877">
        <f t="shared" si="9"/>
        <v>0</v>
      </c>
      <c r="I17" s="903">
        <f>SUM(I14:I16)</f>
        <v>0</v>
      </c>
      <c r="J17" s="851">
        <f>SUM(J14:J16)</f>
        <v>100000</v>
      </c>
      <c r="K17" s="800">
        <f t="shared" si="9"/>
        <v>0</v>
      </c>
      <c r="L17" s="929">
        <f t="shared" si="9"/>
        <v>0</v>
      </c>
      <c r="M17" s="561">
        <f t="shared" ref="M17:T17" si="10">SUM(M16:M16)</f>
        <v>0</v>
      </c>
      <c r="N17" s="561">
        <f t="shared" si="10"/>
        <v>0</v>
      </c>
      <c r="O17" s="561">
        <f t="shared" si="10"/>
        <v>0</v>
      </c>
      <c r="P17" s="561">
        <f t="shared" si="10"/>
        <v>0</v>
      </c>
      <c r="Q17" s="561">
        <f t="shared" si="10"/>
        <v>0</v>
      </c>
      <c r="R17" s="561">
        <f t="shared" si="10"/>
        <v>0</v>
      </c>
      <c r="S17" s="561">
        <f t="shared" si="10"/>
        <v>0</v>
      </c>
      <c r="T17" s="561">
        <f t="shared" si="10"/>
        <v>0</v>
      </c>
      <c r="U17" s="562">
        <f>SUM(U14:U16)</f>
        <v>0</v>
      </c>
      <c r="V17" s="560" t="s">
        <v>19</v>
      </c>
      <c r="W17" s="563">
        <f>SUM(W14:W16)</f>
        <v>0</v>
      </c>
      <c r="X17" s="1458">
        <f t="shared" ref="X17:AS17" si="11">SUM(X14:X16)</f>
        <v>0</v>
      </c>
      <c r="Y17" s="955">
        <f t="shared" si="11"/>
        <v>0</v>
      </c>
      <c r="Z17" s="981">
        <f t="shared" si="11"/>
        <v>0</v>
      </c>
      <c r="AA17" s="1350">
        <f t="shared" si="11"/>
        <v>0</v>
      </c>
      <c r="AB17" s="774">
        <f t="shared" si="11"/>
        <v>0</v>
      </c>
      <c r="AC17" s="774">
        <f t="shared" si="11"/>
        <v>0</v>
      </c>
      <c r="AD17" s="1402">
        <f t="shared" si="11"/>
        <v>0</v>
      </c>
      <c r="AE17" s="1402">
        <f t="shared" si="11"/>
        <v>0</v>
      </c>
      <c r="AF17" s="1376">
        <f>SUM(AF14:AF16)</f>
        <v>0</v>
      </c>
      <c r="AG17" s="1376">
        <f>SUM(AG14:AG16)</f>
        <v>0</v>
      </c>
      <c r="AH17" s="744">
        <f>SUM(AH14:AH16)</f>
        <v>0</v>
      </c>
      <c r="AI17" s="744">
        <f>SUM(AI14:AI16)</f>
        <v>100000</v>
      </c>
      <c r="AJ17" s="560" t="s">
        <v>19</v>
      </c>
      <c r="AK17" s="563">
        <f>SUM(AK14:AK16)</f>
        <v>0</v>
      </c>
      <c r="AL17" s="563">
        <f>SUM(AL14:AL16)</f>
        <v>0</v>
      </c>
      <c r="AM17" s="1428">
        <f>SUM(AM14:AM16)</f>
        <v>0</v>
      </c>
      <c r="AN17" s="1428">
        <f>SUM(AN14:AN16)</f>
        <v>200000</v>
      </c>
      <c r="AO17" s="718">
        <f t="shared" si="11"/>
        <v>0</v>
      </c>
      <c r="AP17" s="718">
        <f t="shared" si="11"/>
        <v>0</v>
      </c>
      <c r="AQ17" s="718">
        <f>SUM(AQ14:AQ16)</f>
        <v>0</v>
      </c>
      <c r="AR17" s="718">
        <f t="shared" si="11"/>
        <v>0</v>
      </c>
      <c r="AS17" s="667">
        <f t="shared" si="11"/>
        <v>0</v>
      </c>
      <c r="AT17" s="574">
        <f t="shared" si="4"/>
        <v>0</v>
      </c>
      <c r="AU17" s="692">
        <f>SUM(AU14:AU16)</f>
        <v>0</v>
      </c>
      <c r="AV17" s="25">
        <f t="shared" si="8"/>
        <v>8981280</v>
      </c>
      <c r="AW17" s="654"/>
    </row>
    <row r="18" spans="1:51" ht="19.5" customHeight="1" thickBot="1">
      <c r="A18" s="5" t="s">
        <v>20</v>
      </c>
      <c r="B18" s="555">
        <f t="shared" ref="B18:U18" si="12">B13+B17</f>
        <v>0</v>
      </c>
      <c r="C18" s="555">
        <f t="shared" si="12"/>
        <v>0</v>
      </c>
      <c r="D18" s="555">
        <f t="shared" si="12"/>
        <v>0</v>
      </c>
      <c r="E18" s="555">
        <f t="shared" si="12"/>
        <v>0</v>
      </c>
      <c r="F18" s="556">
        <f t="shared" si="12"/>
        <v>8581280</v>
      </c>
      <c r="G18" s="531">
        <f t="shared" si="12"/>
        <v>0</v>
      </c>
      <c r="H18" s="878">
        <f t="shared" si="12"/>
        <v>0</v>
      </c>
      <c r="I18" s="904">
        <f t="shared" si="12"/>
        <v>0</v>
      </c>
      <c r="J18" s="852">
        <f t="shared" si="12"/>
        <v>100000</v>
      </c>
      <c r="K18" s="801">
        <f t="shared" si="12"/>
        <v>0</v>
      </c>
      <c r="L18" s="930">
        <f t="shared" si="12"/>
        <v>0</v>
      </c>
      <c r="M18" s="555">
        <f t="shared" si="12"/>
        <v>244590</v>
      </c>
      <c r="N18" s="555">
        <f t="shared" si="12"/>
        <v>244590</v>
      </c>
      <c r="O18" s="555">
        <f t="shared" si="12"/>
        <v>244590</v>
      </c>
      <c r="P18" s="555">
        <f t="shared" si="12"/>
        <v>244590</v>
      </c>
      <c r="Q18" s="555">
        <f t="shared" si="12"/>
        <v>244590</v>
      </c>
      <c r="R18" s="555">
        <f t="shared" si="12"/>
        <v>244590</v>
      </c>
      <c r="S18" s="555">
        <f t="shared" si="12"/>
        <v>46181</v>
      </c>
      <c r="T18" s="555">
        <f t="shared" si="12"/>
        <v>0</v>
      </c>
      <c r="U18" s="556">
        <f t="shared" si="12"/>
        <v>1513721</v>
      </c>
      <c r="V18" s="5" t="s">
        <v>20</v>
      </c>
      <c r="W18" s="531">
        <f>W13+W17</f>
        <v>0</v>
      </c>
      <c r="X18" s="1459">
        <f t="shared" ref="X18:AI18" si="13">X13+X17</f>
        <v>0</v>
      </c>
      <c r="Y18" s="956">
        <f t="shared" si="13"/>
        <v>0</v>
      </c>
      <c r="Z18" s="982">
        <f t="shared" si="13"/>
        <v>2443364</v>
      </c>
      <c r="AA18" s="1351">
        <f t="shared" si="13"/>
        <v>117500</v>
      </c>
      <c r="AB18" s="775">
        <f t="shared" si="13"/>
        <v>3232764</v>
      </c>
      <c r="AC18" s="775">
        <f t="shared" si="13"/>
        <v>0</v>
      </c>
      <c r="AD18" s="1403">
        <f t="shared" si="13"/>
        <v>0</v>
      </c>
      <c r="AE18" s="1403">
        <f t="shared" si="13"/>
        <v>0</v>
      </c>
      <c r="AF18" s="1377">
        <f t="shared" si="13"/>
        <v>0</v>
      </c>
      <c r="AG18" s="1377">
        <f t="shared" si="13"/>
        <v>5217621</v>
      </c>
      <c r="AH18" s="745">
        <f t="shared" si="13"/>
        <v>3019564</v>
      </c>
      <c r="AI18" s="745">
        <f t="shared" si="13"/>
        <v>100000</v>
      </c>
      <c r="AJ18" s="5" t="s">
        <v>20</v>
      </c>
      <c r="AK18" s="531">
        <f t="shared" ref="AK18:AS18" si="14">AK13+AK17</f>
        <v>0</v>
      </c>
      <c r="AL18" s="531">
        <f t="shared" si="14"/>
        <v>0</v>
      </c>
      <c r="AM18" s="1429">
        <f t="shared" si="14"/>
        <v>0</v>
      </c>
      <c r="AN18" s="1429">
        <f t="shared" si="14"/>
        <v>200000</v>
      </c>
      <c r="AO18" s="719">
        <f t="shared" si="14"/>
        <v>0</v>
      </c>
      <c r="AP18" s="719">
        <f t="shared" si="14"/>
        <v>0</v>
      </c>
      <c r="AQ18" s="719">
        <f t="shared" si="14"/>
        <v>2714064</v>
      </c>
      <c r="AR18" s="719">
        <f t="shared" si="14"/>
        <v>0</v>
      </c>
      <c r="AS18" s="669">
        <f t="shared" si="14"/>
        <v>0</v>
      </c>
      <c r="AT18" s="629">
        <f t="shared" si="4"/>
        <v>0</v>
      </c>
      <c r="AU18" s="693">
        <f>AU13+AU17</f>
        <v>0</v>
      </c>
      <c r="AV18" s="1518">
        <f t="shared" si="8"/>
        <v>27239878</v>
      </c>
      <c r="AW18" s="654"/>
      <c r="AX18" s="654"/>
    </row>
    <row r="19" spans="1:51" ht="15.75" customHeight="1">
      <c r="A19" s="6" t="s">
        <v>162</v>
      </c>
      <c r="B19" s="547">
        <f>B14*17.5%</f>
        <v>1291374</v>
      </c>
      <c r="C19" s="547">
        <f>C14*17.5%</f>
        <v>168350</v>
      </c>
      <c r="D19" s="547">
        <f>D15*17.5%</f>
        <v>42000</v>
      </c>
      <c r="E19" s="547"/>
      <c r="F19" s="565">
        <f>SUM(B19:E19)</f>
        <v>1501724</v>
      </c>
      <c r="G19" s="566"/>
      <c r="H19" s="874"/>
      <c r="I19" s="900"/>
      <c r="J19" s="848">
        <f>J16*17.5%</f>
        <v>17500</v>
      </c>
      <c r="K19" s="797"/>
      <c r="L19" s="926"/>
      <c r="M19" s="547">
        <f t="shared" ref="M19:R19" si="15">7134*3</f>
        <v>21402</v>
      </c>
      <c r="N19" s="547">
        <f t="shared" si="15"/>
        <v>21402</v>
      </c>
      <c r="O19" s="547">
        <f t="shared" si="15"/>
        <v>21402</v>
      </c>
      <c r="P19" s="547">
        <f t="shared" si="15"/>
        <v>21402</v>
      </c>
      <c r="Q19" s="547">
        <f t="shared" si="15"/>
        <v>21402</v>
      </c>
      <c r="R19" s="547">
        <f t="shared" si="15"/>
        <v>21402</v>
      </c>
      <c r="S19" s="547">
        <f>S4*17.5%</f>
        <v>8081.6749999999993</v>
      </c>
      <c r="T19" s="547"/>
      <c r="U19" s="565">
        <f t="shared" ref="U19:U25" si="16">SUM(M19:T19)</f>
        <v>136493.67499999999</v>
      </c>
      <c r="V19" s="6" t="s">
        <v>162</v>
      </c>
      <c r="W19" s="566"/>
      <c r="X19" s="1455"/>
      <c r="Y19" s="952"/>
      <c r="Z19" s="978">
        <f>(Z4+Z5+Z8)*17.5%</f>
        <v>427588.69999999995</v>
      </c>
      <c r="AA19" s="1347">
        <f>AA4*17.5%</f>
        <v>20562.5</v>
      </c>
      <c r="AB19" s="771">
        <f>(AB4+AB5+AB8)*17.5%</f>
        <v>565733.69999999995</v>
      </c>
      <c r="AC19" s="771"/>
      <c r="AD19" s="1399"/>
      <c r="AE19" s="1399"/>
      <c r="AF19" s="1373"/>
      <c r="AG19" s="1373">
        <f>(AG4+AG5+AG8)*17.5%</f>
        <v>905523.67499999993</v>
      </c>
      <c r="AH19" s="741">
        <f>(AH4+AH5+AH8)*17.5%</f>
        <v>528423.69999999995</v>
      </c>
      <c r="AI19" s="741">
        <f>AI16*17.5%</f>
        <v>17500</v>
      </c>
      <c r="AJ19" s="6" t="s">
        <v>162</v>
      </c>
      <c r="AK19" s="566"/>
      <c r="AL19" s="566"/>
      <c r="AM19" s="1425"/>
      <c r="AN19" s="1425">
        <f>AN16*17.5%</f>
        <v>35000</v>
      </c>
      <c r="AO19" s="715"/>
      <c r="AP19" s="715"/>
      <c r="AQ19" s="715">
        <f>(AQ4+AQ8+AQ5)*17.5%</f>
        <v>474961.19999999995</v>
      </c>
      <c r="AR19" s="715"/>
      <c r="AS19" s="663"/>
      <c r="AT19" s="626">
        <f t="shared" si="4"/>
        <v>0</v>
      </c>
      <c r="AU19" s="689"/>
      <c r="AV19" s="25">
        <f t="shared" si="8"/>
        <v>4631011.1500000004</v>
      </c>
      <c r="AW19" s="654"/>
    </row>
    <row r="20" spans="1:51" ht="15.75" customHeight="1">
      <c r="A20" s="1" t="s">
        <v>21</v>
      </c>
      <c r="B20" s="543" t="s">
        <v>628</v>
      </c>
      <c r="C20" s="543" t="s">
        <v>628</v>
      </c>
      <c r="D20" s="543" t="s">
        <v>628</v>
      </c>
      <c r="E20" s="543"/>
      <c r="F20" s="567">
        <f t="shared" ref="F20:F25" si="17">SUM(B20:E20)</f>
        <v>0</v>
      </c>
      <c r="G20" s="540"/>
      <c r="H20" s="875"/>
      <c r="I20" s="901"/>
      <c r="J20" s="849"/>
      <c r="K20" s="798"/>
      <c r="L20" s="927"/>
      <c r="M20" s="543"/>
      <c r="N20" s="543"/>
      <c r="O20" s="543"/>
      <c r="P20" s="543"/>
      <c r="Q20" s="543"/>
      <c r="R20" s="543"/>
      <c r="S20" s="543"/>
      <c r="T20" s="543"/>
      <c r="U20" s="567">
        <f t="shared" si="16"/>
        <v>0</v>
      </c>
      <c r="V20" s="1" t="s">
        <v>21</v>
      </c>
      <c r="W20" s="540"/>
      <c r="X20" s="1456"/>
      <c r="Y20" s="953"/>
      <c r="Z20" s="979"/>
      <c r="AA20" s="1348"/>
      <c r="AB20" s="772"/>
      <c r="AC20" s="772"/>
      <c r="AD20" s="1400"/>
      <c r="AE20" s="1400"/>
      <c r="AF20" s="1374"/>
      <c r="AG20" s="1374"/>
      <c r="AH20" s="742"/>
      <c r="AI20" s="742"/>
      <c r="AJ20" s="1" t="s">
        <v>21</v>
      </c>
      <c r="AK20" s="540"/>
      <c r="AL20" s="540"/>
      <c r="AM20" s="1426"/>
      <c r="AN20" s="1426"/>
      <c r="AO20" s="716"/>
      <c r="AP20" s="716"/>
      <c r="AQ20" s="716"/>
      <c r="AR20" s="716"/>
      <c r="AS20" s="664"/>
      <c r="AT20" s="627">
        <f t="shared" si="4"/>
        <v>0</v>
      </c>
      <c r="AU20" s="690"/>
      <c r="AV20" s="1019">
        <f t="shared" si="8"/>
        <v>0</v>
      </c>
      <c r="AW20" s="654"/>
    </row>
    <row r="21" spans="1:51" ht="15.75" customHeight="1">
      <c r="A21" s="1" t="s">
        <v>22</v>
      </c>
      <c r="B21" s="543"/>
      <c r="C21" s="543"/>
      <c r="D21" s="543"/>
      <c r="E21" s="543"/>
      <c r="F21" s="568">
        <f t="shared" si="17"/>
        <v>0</v>
      </c>
      <c r="G21" s="540"/>
      <c r="H21" s="875"/>
      <c r="I21" s="901"/>
      <c r="J21" s="849"/>
      <c r="K21" s="798"/>
      <c r="L21" s="927"/>
      <c r="M21" s="543"/>
      <c r="N21" s="543"/>
      <c r="O21" s="543"/>
      <c r="P21" s="543"/>
      <c r="Q21" s="543"/>
      <c r="R21" s="543"/>
      <c r="S21" s="543"/>
      <c r="T21" s="543"/>
      <c r="U21" s="568">
        <f t="shared" si="16"/>
        <v>0</v>
      </c>
      <c r="V21" s="1" t="s">
        <v>22</v>
      </c>
      <c r="W21" s="540"/>
      <c r="X21" s="1456"/>
      <c r="Y21" s="953"/>
      <c r="Z21" s="979"/>
      <c r="AA21" s="1348"/>
      <c r="AB21" s="772"/>
      <c r="AC21" s="772"/>
      <c r="AD21" s="1400"/>
      <c r="AE21" s="1400"/>
      <c r="AF21" s="1374"/>
      <c r="AG21" s="1374"/>
      <c r="AH21" s="742"/>
      <c r="AI21" s="742"/>
      <c r="AJ21" s="1" t="s">
        <v>22</v>
      </c>
      <c r="AK21" s="540"/>
      <c r="AL21" s="540"/>
      <c r="AM21" s="1426"/>
      <c r="AN21" s="1426"/>
      <c r="AO21" s="716"/>
      <c r="AP21" s="716"/>
      <c r="AQ21" s="716"/>
      <c r="AR21" s="716"/>
      <c r="AS21" s="664"/>
      <c r="AT21" s="627">
        <f t="shared" si="4"/>
        <v>0</v>
      </c>
      <c r="AU21" s="690"/>
      <c r="AV21" s="1019">
        <f t="shared" si="8"/>
        <v>0</v>
      </c>
      <c r="AW21" s="654"/>
    </row>
    <row r="22" spans="1:51" ht="15.75" customHeight="1">
      <c r="A22" s="2" t="s">
        <v>687</v>
      </c>
      <c r="B22" s="544"/>
      <c r="C22" s="544"/>
      <c r="D22" s="544"/>
      <c r="E22" s="544"/>
      <c r="F22" s="567">
        <f t="shared" si="17"/>
        <v>0</v>
      </c>
      <c r="G22" s="540"/>
      <c r="H22" s="875"/>
      <c r="I22" s="901"/>
      <c r="J22" s="849"/>
      <c r="K22" s="798"/>
      <c r="L22" s="927"/>
      <c r="M22" s="544"/>
      <c r="N22" s="544"/>
      <c r="O22" s="544"/>
      <c r="P22" s="544"/>
      <c r="Q22" s="544"/>
      <c r="R22" s="544"/>
      <c r="S22" s="544"/>
      <c r="T22" s="544"/>
      <c r="U22" s="567">
        <f t="shared" si="16"/>
        <v>0</v>
      </c>
      <c r="V22" s="2" t="s">
        <v>687</v>
      </c>
      <c r="W22" s="540"/>
      <c r="X22" s="1456"/>
      <c r="Y22" s="953"/>
      <c r="Z22" s="979"/>
      <c r="AA22" s="1348"/>
      <c r="AB22" s="772"/>
      <c r="AC22" s="772"/>
      <c r="AD22" s="1400"/>
      <c r="AE22" s="1400"/>
      <c r="AF22" s="1374"/>
      <c r="AG22" s="1374"/>
      <c r="AH22" s="742"/>
      <c r="AI22" s="742"/>
      <c r="AJ22" s="2" t="s">
        <v>687</v>
      </c>
      <c r="AK22" s="540"/>
      <c r="AL22" s="540"/>
      <c r="AM22" s="1426"/>
      <c r="AN22" s="1426"/>
      <c r="AO22" s="716"/>
      <c r="AP22" s="716"/>
      <c r="AQ22" s="716"/>
      <c r="AR22" s="716"/>
      <c r="AS22" s="665"/>
      <c r="AT22" s="627">
        <f t="shared" si="4"/>
        <v>0</v>
      </c>
      <c r="AU22" s="690"/>
      <c r="AV22" s="1019">
        <f t="shared" si="8"/>
        <v>0</v>
      </c>
      <c r="AW22" s="654"/>
    </row>
    <row r="23" spans="1:51" ht="15.75" customHeight="1">
      <c r="A23" s="2" t="s">
        <v>23</v>
      </c>
      <c r="B23" s="544"/>
      <c r="C23" s="544"/>
      <c r="D23" s="544"/>
      <c r="E23" s="544"/>
      <c r="F23" s="567">
        <f t="shared" si="17"/>
        <v>0</v>
      </c>
      <c r="G23" s="540"/>
      <c r="H23" s="875"/>
      <c r="I23" s="901"/>
      <c r="J23" s="849"/>
      <c r="K23" s="798"/>
      <c r="L23" s="927"/>
      <c r="M23" s="544"/>
      <c r="N23" s="544"/>
      <c r="O23" s="544"/>
      <c r="P23" s="544"/>
      <c r="Q23" s="544"/>
      <c r="R23" s="544"/>
      <c r="S23" s="544"/>
      <c r="T23" s="544"/>
      <c r="U23" s="567">
        <f t="shared" si="16"/>
        <v>0</v>
      </c>
      <c r="V23" s="2" t="s">
        <v>23</v>
      </c>
      <c r="W23" s="540"/>
      <c r="X23" s="1456"/>
      <c r="Y23" s="953"/>
      <c r="Z23" s="979"/>
      <c r="AA23" s="1348"/>
      <c r="AB23" s="772"/>
      <c r="AC23" s="772"/>
      <c r="AD23" s="1400"/>
      <c r="AE23" s="1400"/>
      <c r="AF23" s="1374"/>
      <c r="AG23" s="1374"/>
      <c r="AH23" s="742"/>
      <c r="AI23" s="742"/>
      <c r="AJ23" s="2" t="s">
        <v>23</v>
      </c>
      <c r="AK23" s="540"/>
      <c r="AL23" s="540"/>
      <c r="AM23" s="1426"/>
      <c r="AN23" s="1426"/>
      <c r="AO23" s="716"/>
      <c r="AP23" s="716"/>
      <c r="AQ23" s="716"/>
      <c r="AR23" s="716"/>
      <c r="AS23" s="665"/>
      <c r="AT23" s="627">
        <f t="shared" si="4"/>
        <v>0</v>
      </c>
      <c r="AU23" s="690"/>
      <c r="AV23" s="1019">
        <f t="shared" si="8"/>
        <v>0</v>
      </c>
      <c r="AW23" s="654"/>
    </row>
    <row r="24" spans="1:51" ht="15.75" customHeight="1">
      <c r="A24" s="2" t="s">
        <v>24</v>
      </c>
      <c r="B24" s="544"/>
      <c r="C24" s="544"/>
      <c r="D24" s="544"/>
      <c r="E24" s="544"/>
      <c r="F24" s="567">
        <f t="shared" si="17"/>
        <v>0</v>
      </c>
      <c r="G24" s="540"/>
      <c r="H24" s="875"/>
      <c r="I24" s="901"/>
      <c r="J24" s="849"/>
      <c r="K24" s="798"/>
      <c r="L24" s="927"/>
      <c r="M24" s="544"/>
      <c r="N24" s="544"/>
      <c r="O24" s="544"/>
      <c r="P24" s="544"/>
      <c r="Q24" s="544"/>
      <c r="R24" s="544"/>
      <c r="S24" s="544"/>
      <c r="T24" s="544"/>
      <c r="U24" s="567">
        <f t="shared" si="16"/>
        <v>0</v>
      </c>
      <c r="V24" s="2" t="s">
        <v>24</v>
      </c>
      <c r="W24" s="540"/>
      <c r="X24" s="1456"/>
      <c r="Y24" s="953"/>
      <c r="Z24" s="979"/>
      <c r="AA24" s="1348"/>
      <c r="AB24" s="772"/>
      <c r="AC24" s="772"/>
      <c r="AD24" s="1400"/>
      <c r="AE24" s="1400"/>
      <c r="AF24" s="1374"/>
      <c r="AG24" s="1374"/>
      <c r="AH24" s="742"/>
      <c r="AI24" s="742"/>
      <c r="AJ24" s="2" t="s">
        <v>24</v>
      </c>
      <c r="AK24" s="540"/>
      <c r="AL24" s="540"/>
      <c r="AM24" s="1426"/>
      <c r="AN24" s="1426"/>
      <c r="AO24" s="716"/>
      <c r="AP24" s="716"/>
      <c r="AQ24" s="716"/>
      <c r="AR24" s="716"/>
      <c r="AS24" s="665"/>
      <c r="AT24" s="627">
        <f t="shared" si="4"/>
        <v>0</v>
      </c>
      <c r="AU24" s="690"/>
      <c r="AV24" s="1019">
        <f t="shared" si="8"/>
        <v>0</v>
      </c>
      <c r="AW24" s="654"/>
    </row>
    <row r="25" spans="1:51" ht="45.75" customHeight="1" thickBot="1">
      <c r="A25" s="4" t="s">
        <v>163</v>
      </c>
      <c r="B25" s="548"/>
      <c r="C25" s="548"/>
      <c r="D25" s="548"/>
      <c r="E25" s="548"/>
      <c r="F25" s="567">
        <f t="shared" si="17"/>
        <v>0</v>
      </c>
      <c r="G25" s="540"/>
      <c r="H25" s="875"/>
      <c r="I25" s="901"/>
      <c r="J25" s="849">
        <f>J16*15%</f>
        <v>15000</v>
      </c>
      <c r="K25" s="798"/>
      <c r="L25" s="927"/>
      <c r="M25" s="548"/>
      <c r="N25" s="548"/>
      <c r="O25" s="548"/>
      <c r="P25" s="548"/>
      <c r="Q25" s="548"/>
      <c r="R25" s="548"/>
      <c r="S25" s="548"/>
      <c r="T25" s="548"/>
      <c r="U25" s="567">
        <f t="shared" si="16"/>
        <v>0</v>
      </c>
      <c r="V25" s="4" t="s">
        <v>163</v>
      </c>
      <c r="W25" s="540"/>
      <c r="X25" s="1456"/>
      <c r="Y25" s="953"/>
      <c r="Z25" s="979"/>
      <c r="AA25" s="1348"/>
      <c r="AB25" s="772"/>
      <c r="AC25" s="772"/>
      <c r="AD25" s="1400"/>
      <c r="AE25" s="1400"/>
      <c r="AF25" s="1374"/>
      <c r="AG25" s="1374">
        <f>AG8*15%</f>
        <v>22500</v>
      </c>
      <c r="AH25" s="742"/>
      <c r="AI25" s="742">
        <f>AI16*15%</f>
        <v>15000</v>
      </c>
      <c r="AJ25" s="4" t="s">
        <v>163</v>
      </c>
      <c r="AK25" s="540"/>
      <c r="AL25" s="540"/>
      <c r="AM25" s="1426"/>
      <c r="AN25" s="1426">
        <f>AN16*15%</f>
        <v>30000</v>
      </c>
      <c r="AO25" s="716"/>
      <c r="AP25" s="716"/>
      <c r="AQ25" s="716"/>
      <c r="AR25" s="716"/>
      <c r="AS25" s="666"/>
      <c r="AT25" s="630">
        <f t="shared" si="4"/>
        <v>0</v>
      </c>
      <c r="AU25" s="690"/>
      <c r="AV25" s="1020">
        <f t="shared" si="8"/>
        <v>82500</v>
      </c>
      <c r="AW25" s="654"/>
    </row>
    <row r="26" spans="1:51" ht="32.25" customHeight="1" thickBot="1">
      <c r="A26" s="7" t="s">
        <v>25</v>
      </c>
      <c r="B26" s="555">
        <f t="shared" ref="B26:U26" si="18">SUM(B19:B25)</f>
        <v>1291374</v>
      </c>
      <c r="C26" s="555">
        <f t="shared" si="18"/>
        <v>168350</v>
      </c>
      <c r="D26" s="555">
        <f t="shared" si="18"/>
        <v>42000</v>
      </c>
      <c r="E26" s="555">
        <f t="shared" si="18"/>
        <v>0</v>
      </c>
      <c r="F26" s="556">
        <f t="shared" si="18"/>
        <v>1501724</v>
      </c>
      <c r="G26" s="531">
        <f t="shared" si="18"/>
        <v>0</v>
      </c>
      <c r="H26" s="878">
        <f t="shared" si="18"/>
        <v>0</v>
      </c>
      <c r="I26" s="904">
        <f t="shared" si="18"/>
        <v>0</v>
      </c>
      <c r="J26" s="852">
        <f t="shared" si="18"/>
        <v>32500</v>
      </c>
      <c r="K26" s="801">
        <f t="shared" si="18"/>
        <v>0</v>
      </c>
      <c r="L26" s="930">
        <f t="shared" si="18"/>
        <v>0</v>
      </c>
      <c r="M26" s="555">
        <f t="shared" si="18"/>
        <v>21402</v>
      </c>
      <c r="N26" s="555">
        <f t="shared" si="18"/>
        <v>21402</v>
      </c>
      <c r="O26" s="555">
        <f t="shared" si="18"/>
        <v>21402</v>
      </c>
      <c r="P26" s="555">
        <f t="shared" si="18"/>
        <v>21402</v>
      </c>
      <c r="Q26" s="555">
        <f t="shared" si="18"/>
        <v>21402</v>
      </c>
      <c r="R26" s="555">
        <f t="shared" si="18"/>
        <v>21402</v>
      </c>
      <c r="S26" s="555">
        <f t="shared" si="18"/>
        <v>8081.6749999999993</v>
      </c>
      <c r="T26" s="555">
        <f t="shared" si="18"/>
        <v>0</v>
      </c>
      <c r="U26" s="556">
        <f t="shared" si="18"/>
        <v>136493.67499999999</v>
      </c>
      <c r="V26" s="7" t="s">
        <v>25</v>
      </c>
      <c r="W26" s="531">
        <f>SUM(W19:W25)</f>
        <v>0</v>
      </c>
      <c r="X26" s="1459">
        <f t="shared" ref="X26:AI26" si="19">SUM(X19:X25)</f>
        <v>0</v>
      </c>
      <c r="Y26" s="956">
        <f t="shared" si="19"/>
        <v>0</v>
      </c>
      <c r="Z26" s="982">
        <f t="shared" si="19"/>
        <v>427588.69999999995</v>
      </c>
      <c r="AA26" s="1351">
        <f t="shared" si="19"/>
        <v>20562.5</v>
      </c>
      <c r="AB26" s="775">
        <f t="shared" si="19"/>
        <v>565733.69999999995</v>
      </c>
      <c r="AC26" s="775">
        <f t="shared" si="19"/>
        <v>0</v>
      </c>
      <c r="AD26" s="1403">
        <f t="shared" si="19"/>
        <v>0</v>
      </c>
      <c r="AE26" s="1403">
        <f t="shared" si="19"/>
        <v>0</v>
      </c>
      <c r="AF26" s="1377">
        <f t="shared" si="19"/>
        <v>0</v>
      </c>
      <c r="AG26" s="1377">
        <f t="shared" si="19"/>
        <v>928023.67499999993</v>
      </c>
      <c r="AH26" s="745">
        <f t="shared" si="19"/>
        <v>528423.69999999995</v>
      </c>
      <c r="AI26" s="745">
        <f t="shared" si="19"/>
        <v>32500</v>
      </c>
      <c r="AJ26" s="7" t="s">
        <v>25</v>
      </c>
      <c r="AK26" s="531">
        <f t="shared" ref="AK26:AS26" si="20">SUM(AK19:AK25)</f>
        <v>0</v>
      </c>
      <c r="AL26" s="531">
        <f t="shared" si="20"/>
        <v>0</v>
      </c>
      <c r="AM26" s="1429">
        <f t="shared" si="20"/>
        <v>0</v>
      </c>
      <c r="AN26" s="1429">
        <f t="shared" si="20"/>
        <v>65000</v>
      </c>
      <c r="AO26" s="719">
        <f t="shared" si="20"/>
        <v>0</v>
      </c>
      <c r="AP26" s="719">
        <f t="shared" si="20"/>
        <v>0</v>
      </c>
      <c r="AQ26" s="719">
        <f t="shared" si="20"/>
        <v>474961.19999999995</v>
      </c>
      <c r="AR26" s="719">
        <f t="shared" si="20"/>
        <v>0</v>
      </c>
      <c r="AS26" s="669">
        <f t="shared" si="20"/>
        <v>0</v>
      </c>
      <c r="AT26" s="629">
        <f t="shared" si="4"/>
        <v>0</v>
      </c>
      <c r="AU26" s="693">
        <f>SUM(AU19:AU25)</f>
        <v>0</v>
      </c>
      <c r="AV26" s="1518">
        <f t="shared" si="8"/>
        <v>4713511.1500000004</v>
      </c>
      <c r="AW26" s="654"/>
      <c r="AX26" s="652"/>
      <c r="AY26" s="1012"/>
    </row>
    <row r="27" spans="1:51" ht="15.75">
      <c r="A27" s="8" t="s">
        <v>26</v>
      </c>
      <c r="B27" s="547"/>
      <c r="C27" s="547"/>
      <c r="D27" s="547"/>
      <c r="E27" s="547"/>
      <c r="F27" s="565">
        <f>SUM(B27:E27)</f>
        <v>0</v>
      </c>
      <c r="G27" s="566"/>
      <c r="H27" s="874"/>
      <c r="I27" s="900"/>
      <c r="J27" s="848"/>
      <c r="K27" s="797"/>
      <c r="L27" s="926"/>
      <c r="M27" s="547"/>
      <c r="N27" s="547"/>
      <c r="O27" s="547"/>
      <c r="P27" s="547"/>
      <c r="Q27" s="547"/>
      <c r="R27" s="547"/>
      <c r="S27" s="547"/>
      <c r="T27" s="547"/>
      <c r="U27" s="565">
        <f>SUM(M27:T27)</f>
        <v>0</v>
      </c>
      <c r="V27" s="8" t="s">
        <v>26</v>
      </c>
      <c r="W27" s="566"/>
      <c r="X27" s="1455"/>
      <c r="Y27" s="952"/>
      <c r="Z27" s="978"/>
      <c r="AA27" s="1347"/>
      <c r="AB27" s="771"/>
      <c r="AC27" s="771"/>
      <c r="AD27" s="1399"/>
      <c r="AE27" s="1399"/>
      <c r="AF27" s="1373"/>
      <c r="AG27" s="1373"/>
      <c r="AH27" s="741"/>
      <c r="AI27" s="741"/>
      <c r="AJ27" s="8" t="s">
        <v>26</v>
      </c>
      <c r="AK27" s="566"/>
      <c r="AL27" s="566"/>
      <c r="AM27" s="1425"/>
      <c r="AN27" s="1425"/>
      <c r="AO27" s="715"/>
      <c r="AP27" s="715"/>
      <c r="AQ27" s="715"/>
      <c r="AR27" s="715"/>
      <c r="AS27" s="663"/>
      <c r="AT27" s="626">
        <f t="shared" si="4"/>
        <v>0</v>
      </c>
      <c r="AU27" s="689"/>
      <c r="AV27" s="25">
        <f t="shared" si="8"/>
        <v>0</v>
      </c>
      <c r="AW27" s="654"/>
    </row>
    <row r="28" spans="1:51" ht="15.75">
      <c r="A28" s="2" t="s">
        <v>27</v>
      </c>
      <c r="B28" s="544"/>
      <c r="C28" s="544"/>
      <c r="D28" s="544"/>
      <c r="E28" s="544"/>
      <c r="F28" s="567">
        <f>SUM(B28:E28)</f>
        <v>0</v>
      </c>
      <c r="G28" s="540"/>
      <c r="H28" s="875"/>
      <c r="I28" s="901"/>
      <c r="J28" s="849"/>
      <c r="K28" s="798"/>
      <c r="L28" s="927"/>
      <c r="M28" s="544"/>
      <c r="N28" s="544"/>
      <c r="O28" s="544"/>
      <c r="P28" s="544"/>
      <c r="Q28" s="544"/>
      <c r="R28" s="544"/>
      <c r="S28" s="544"/>
      <c r="T28" s="544"/>
      <c r="U28" s="567">
        <f>SUM(M28:T28)</f>
        <v>0</v>
      </c>
      <c r="V28" s="2" t="s">
        <v>27</v>
      </c>
      <c r="W28" s="540"/>
      <c r="X28" s="1456"/>
      <c r="Y28" s="953"/>
      <c r="Z28" s="979"/>
      <c r="AA28" s="1348"/>
      <c r="AB28" s="772"/>
      <c r="AC28" s="772"/>
      <c r="AD28" s="1400"/>
      <c r="AE28" s="1400"/>
      <c r="AF28" s="1374"/>
      <c r="AG28" s="1374"/>
      <c r="AH28" s="742"/>
      <c r="AI28" s="742"/>
      <c r="AJ28" s="2" t="s">
        <v>27</v>
      </c>
      <c r="AK28" s="540"/>
      <c r="AL28" s="540"/>
      <c r="AM28" s="1426"/>
      <c r="AN28" s="1426"/>
      <c r="AO28" s="716"/>
      <c r="AP28" s="716"/>
      <c r="AQ28" s="716"/>
      <c r="AR28" s="716"/>
      <c r="AS28" s="665"/>
      <c r="AT28" s="627">
        <f t="shared" si="4"/>
        <v>0</v>
      </c>
      <c r="AU28" s="690"/>
      <c r="AV28" s="1019">
        <f t="shared" si="8"/>
        <v>0</v>
      </c>
      <c r="AW28" s="654"/>
    </row>
    <row r="29" spans="1:51" ht="15.75">
      <c r="A29" s="2" t="s">
        <v>638</v>
      </c>
      <c r="B29" s="544"/>
      <c r="C29" s="544"/>
      <c r="D29" s="544"/>
      <c r="E29" s="544">
        <f>20000*12</f>
        <v>240000</v>
      </c>
      <c r="F29" s="567">
        <f>SUM(B29:E29)</f>
        <v>240000</v>
      </c>
      <c r="G29" s="540"/>
      <c r="H29" s="875"/>
      <c r="I29" s="901"/>
      <c r="J29" s="849"/>
      <c r="K29" s="798"/>
      <c r="L29" s="927"/>
      <c r="M29" s="544"/>
      <c r="N29" s="544"/>
      <c r="O29" s="544"/>
      <c r="P29" s="544"/>
      <c r="Q29" s="544"/>
      <c r="R29" s="544"/>
      <c r="S29" s="544"/>
      <c r="T29" s="544"/>
      <c r="U29" s="567">
        <f>SUM(M29:T29)</f>
        <v>0</v>
      </c>
      <c r="V29" s="2" t="s">
        <v>638</v>
      </c>
      <c r="W29" s="540"/>
      <c r="X29" s="1456"/>
      <c r="Y29" s="953"/>
      <c r="Z29" s="979"/>
      <c r="AA29" s="1348"/>
      <c r="AB29" s="772"/>
      <c r="AC29" s="772"/>
      <c r="AD29" s="1400"/>
      <c r="AE29" s="1400"/>
      <c r="AF29" s="1374"/>
      <c r="AG29" s="1374"/>
      <c r="AH29" s="742"/>
      <c r="AI29" s="742"/>
      <c r="AJ29" s="2" t="s">
        <v>638</v>
      </c>
      <c r="AK29" s="540"/>
      <c r="AL29" s="540"/>
      <c r="AM29" s="1426"/>
      <c r="AN29" s="1426"/>
      <c r="AO29" s="716"/>
      <c r="AP29" s="716"/>
      <c r="AQ29" s="716"/>
      <c r="AR29" s="716"/>
      <c r="AS29" s="665"/>
      <c r="AT29" s="627">
        <f t="shared" si="4"/>
        <v>0</v>
      </c>
      <c r="AU29" s="690"/>
      <c r="AV29" s="1019">
        <f t="shared" si="8"/>
        <v>240000</v>
      </c>
      <c r="AW29" s="654"/>
    </row>
    <row r="30" spans="1:51" ht="30">
      <c r="A30" s="9" t="s">
        <v>609</v>
      </c>
      <c r="B30" s="544"/>
      <c r="C30" s="544"/>
      <c r="D30" s="544"/>
      <c r="E30" s="544">
        <v>50000</v>
      </c>
      <c r="F30" s="567">
        <f>SUM(B30:E30)</f>
        <v>50000</v>
      </c>
      <c r="G30" s="540"/>
      <c r="H30" s="875"/>
      <c r="I30" s="901"/>
      <c r="J30" s="849"/>
      <c r="K30" s="798"/>
      <c r="L30" s="927"/>
      <c r="M30" s="544"/>
      <c r="N30" s="544"/>
      <c r="O30" s="544"/>
      <c r="P30" s="544"/>
      <c r="Q30" s="544"/>
      <c r="R30" s="544"/>
      <c r="S30" s="544"/>
      <c r="T30" s="544"/>
      <c r="U30" s="567">
        <f>SUM(M30:T30)</f>
        <v>0</v>
      </c>
      <c r="V30" s="9" t="s">
        <v>609</v>
      </c>
      <c r="W30" s="540"/>
      <c r="X30" s="1456"/>
      <c r="Y30" s="953"/>
      <c r="Z30" s="979"/>
      <c r="AA30" s="1348"/>
      <c r="AB30" s="772"/>
      <c r="AC30" s="772"/>
      <c r="AD30" s="1400"/>
      <c r="AE30" s="1400"/>
      <c r="AF30" s="1374"/>
      <c r="AG30" s="1374"/>
      <c r="AH30" s="742"/>
      <c r="AI30" s="742"/>
      <c r="AJ30" s="9" t="s">
        <v>609</v>
      </c>
      <c r="AK30" s="540"/>
      <c r="AL30" s="540"/>
      <c r="AM30" s="1426"/>
      <c r="AN30" s="1426"/>
      <c r="AO30" s="716"/>
      <c r="AP30" s="716"/>
      <c r="AQ30" s="716"/>
      <c r="AR30" s="716"/>
      <c r="AS30" s="665"/>
      <c r="AT30" s="627">
        <f t="shared" si="4"/>
        <v>0</v>
      </c>
      <c r="AU30" s="690"/>
      <c r="AV30" s="1019">
        <f t="shared" si="8"/>
        <v>50000</v>
      </c>
      <c r="AW30" s="654"/>
    </row>
    <row r="31" spans="1:51" ht="15.75">
      <c r="A31" s="9" t="s">
        <v>164</v>
      </c>
      <c r="B31" s="544"/>
      <c r="C31" s="544"/>
      <c r="D31" s="544"/>
      <c r="E31" s="544">
        <v>50000</v>
      </c>
      <c r="F31" s="567">
        <f>SUM(B31:E31)</f>
        <v>50000</v>
      </c>
      <c r="G31" s="540"/>
      <c r="H31" s="875"/>
      <c r="I31" s="901"/>
      <c r="J31" s="849"/>
      <c r="K31" s="798"/>
      <c r="L31" s="927"/>
      <c r="M31" s="544"/>
      <c r="N31" s="544"/>
      <c r="O31" s="544"/>
      <c r="P31" s="544"/>
      <c r="Q31" s="544"/>
      <c r="R31" s="544"/>
      <c r="S31" s="544"/>
      <c r="T31" s="544"/>
      <c r="U31" s="567">
        <f>SUM(M31:T31)</f>
        <v>0</v>
      </c>
      <c r="V31" s="9" t="s">
        <v>164</v>
      </c>
      <c r="W31" s="540"/>
      <c r="X31" s="1456"/>
      <c r="Y31" s="953"/>
      <c r="Z31" s="979"/>
      <c r="AA31" s="1348"/>
      <c r="AB31" s="772"/>
      <c r="AC31" s="772"/>
      <c r="AD31" s="1400"/>
      <c r="AE31" s="1400"/>
      <c r="AF31" s="1374">
        <v>50000</v>
      </c>
      <c r="AG31" s="1374">
        <v>90000</v>
      </c>
      <c r="AH31" s="742"/>
      <c r="AI31" s="742"/>
      <c r="AJ31" s="9" t="s">
        <v>164</v>
      </c>
      <c r="AK31" s="540"/>
      <c r="AL31" s="540"/>
      <c r="AM31" s="1426"/>
      <c r="AN31" s="1426"/>
      <c r="AO31" s="716"/>
      <c r="AP31" s="716"/>
      <c r="AQ31" s="716"/>
      <c r="AR31" s="716"/>
      <c r="AS31" s="665"/>
      <c r="AT31" s="627">
        <f t="shared" si="4"/>
        <v>0</v>
      </c>
      <c r="AU31" s="690"/>
      <c r="AV31" s="1019">
        <f t="shared" si="8"/>
        <v>190000</v>
      </c>
      <c r="AW31" s="654"/>
    </row>
    <row r="32" spans="1:51" ht="15.75">
      <c r="A32" s="10" t="s">
        <v>28</v>
      </c>
      <c r="B32" s="549">
        <f>SUM(B27:B30)</f>
        <v>0</v>
      </c>
      <c r="C32" s="549">
        <f>SUM(C27:C30)</f>
        <v>0</v>
      </c>
      <c r="D32" s="549">
        <f>SUM(D27:D30)</f>
        <v>0</v>
      </c>
      <c r="E32" s="549">
        <f t="shared" ref="E32:L32" si="21">SUM(E27:E31)</f>
        <v>340000</v>
      </c>
      <c r="F32" s="26">
        <f t="shared" si="21"/>
        <v>340000</v>
      </c>
      <c r="G32" s="535">
        <f t="shared" si="21"/>
        <v>0</v>
      </c>
      <c r="H32" s="879">
        <f t="shared" si="21"/>
        <v>0</v>
      </c>
      <c r="I32" s="905">
        <f>SUM(I27:I31)</f>
        <v>0</v>
      </c>
      <c r="J32" s="853">
        <f>SUM(J27:J31)</f>
        <v>0</v>
      </c>
      <c r="K32" s="802">
        <f t="shared" si="21"/>
        <v>0</v>
      </c>
      <c r="L32" s="931">
        <f t="shared" si="21"/>
        <v>0</v>
      </c>
      <c r="M32" s="549">
        <f>SUM(M27:M30)</f>
        <v>0</v>
      </c>
      <c r="N32" s="549">
        <f t="shared" ref="N32:U32" si="22">SUM(N27:N31)</f>
        <v>0</v>
      </c>
      <c r="O32" s="549">
        <f t="shared" si="22"/>
        <v>0</v>
      </c>
      <c r="P32" s="549">
        <f t="shared" si="22"/>
        <v>0</v>
      </c>
      <c r="Q32" s="549">
        <f t="shared" si="22"/>
        <v>0</v>
      </c>
      <c r="R32" s="549">
        <f t="shared" si="22"/>
        <v>0</v>
      </c>
      <c r="S32" s="549">
        <f t="shared" si="22"/>
        <v>0</v>
      </c>
      <c r="T32" s="549">
        <f t="shared" si="22"/>
        <v>0</v>
      </c>
      <c r="U32" s="26">
        <f t="shared" si="22"/>
        <v>0</v>
      </c>
      <c r="V32" s="10" t="s">
        <v>28</v>
      </c>
      <c r="W32" s="535">
        <f>SUM(W27:W31)</f>
        <v>0</v>
      </c>
      <c r="X32" s="1460">
        <f t="shared" ref="X32:AS32" si="23">SUM(X27:X31)</f>
        <v>0</v>
      </c>
      <c r="Y32" s="957">
        <f t="shared" si="23"/>
        <v>0</v>
      </c>
      <c r="Z32" s="983">
        <f t="shared" si="23"/>
        <v>0</v>
      </c>
      <c r="AA32" s="1352">
        <f t="shared" si="23"/>
        <v>0</v>
      </c>
      <c r="AB32" s="776">
        <f t="shared" si="23"/>
        <v>0</v>
      </c>
      <c r="AC32" s="776">
        <f t="shared" si="23"/>
        <v>0</v>
      </c>
      <c r="AD32" s="1404">
        <f t="shared" si="23"/>
        <v>0</v>
      </c>
      <c r="AE32" s="1404">
        <f t="shared" si="23"/>
        <v>0</v>
      </c>
      <c r="AF32" s="1378">
        <f>SUM(AF27:AF31)</f>
        <v>50000</v>
      </c>
      <c r="AG32" s="1378">
        <f>SUM(AG27:AG31)</f>
        <v>90000</v>
      </c>
      <c r="AH32" s="746">
        <f>SUM(AH27:AH31)</f>
        <v>0</v>
      </c>
      <c r="AI32" s="746">
        <f>SUM(AI27:AI31)</f>
        <v>0</v>
      </c>
      <c r="AJ32" s="10" t="s">
        <v>28</v>
      </c>
      <c r="AK32" s="535">
        <f>SUM(AK27:AK31)</f>
        <v>0</v>
      </c>
      <c r="AL32" s="535">
        <f>SUM(AL27:AL31)</f>
        <v>0</v>
      </c>
      <c r="AM32" s="1430">
        <f>SUM(AM27:AM31)</f>
        <v>0</v>
      </c>
      <c r="AN32" s="1430">
        <f>SUM(AN27:AN31)</f>
        <v>0</v>
      </c>
      <c r="AO32" s="720">
        <f t="shared" si="23"/>
        <v>0</v>
      </c>
      <c r="AP32" s="720">
        <f t="shared" si="23"/>
        <v>0</v>
      </c>
      <c r="AQ32" s="720">
        <f>SUM(AQ27:AQ31)</f>
        <v>0</v>
      </c>
      <c r="AR32" s="720">
        <f t="shared" si="23"/>
        <v>0</v>
      </c>
      <c r="AS32" s="670">
        <f t="shared" si="23"/>
        <v>0</v>
      </c>
      <c r="AT32" s="627">
        <f t="shared" si="4"/>
        <v>0</v>
      </c>
      <c r="AU32" s="694">
        <f>SUM(AU27:AU31)</f>
        <v>0</v>
      </c>
      <c r="AV32" s="1019">
        <f t="shared" si="8"/>
        <v>480000</v>
      </c>
      <c r="AW32" s="654"/>
    </row>
    <row r="33" spans="1:51" ht="15.75">
      <c r="A33" s="2" t="s">
        <v>29</v>
      </c>
      <c r="B33" s="544"/>
      <c r="C33" s="544"/>
      <c r="D33" s="544"/>
      <c r="E33" s="544"/>
      <c r="F33" s="567">
        <f t="shared" ref="F33:F38" si="24">SUM(B33:E33)</f>
        <v>0</v>
      </c>
      <c r="G33" s="540"/>
      <c r="H33" s="875"/>
      <c r="I33" s="901"/>
      <c r="J33" s="849"/>
      <c r="K33" s="798"/>
      <c r="L33" s="927"/>
      <c r="M33" s="544"/>
      <c r="N33" s="544"/>
      <c r="O33" s="544"/>
      <c r="P33" s="544"/>
      <c r="Q33" s="544"/>
      <c r="R33" s="544"/>
      <c r="S33" s="544"/>
      <c r="T33" s="544"/>
      <c r="U33" s="567">
        <f t="shared" ref="U33:U38" si="25">SUM(M33:T33)</f>
        <v>0</v>
      </c>
      <c r="V33" s="2" t="s">
        <v>29</v>
      </c>
      <c r="W33" s="540"/>
      <c r="X33" s="1456"/>
      <c r="Y33" s="953"/>
      <c r="Z33" s="979"/>
      <c r="AA33" s="1348"/>
      <c r="AB33" s="772"/>
      <c r="AC33" s="772"/>
      <c r="AD33" s="1400"/>
      <c r="AE33" s="1400"/>
      <c r="AF33" s="1374"/>
      <c r="AG33" s="1374"/>
      <c r="AH33" s="742"/>
      <c r="AI33" s="742"/>
      <c r="AJ33" s="2" t="s">
        <v>29</v>
      </c>
      <c r="AK33" s="540"/>
      <c r="AL33" s="540"/>
      <c r="AM33" s="1426"/>
      <c r="AN33" s="1426"/>
      <c r="AO33" s="716"/>
      <c r="AP33" s="716"/>
      <c r="AQ33" s="716"/>
      <c r="AR33" s="716"/>
      <c r="AS33" s="665"/>
      <c r="AT33" s="627">
        <f t="shared" si="4"/>
        <v>0</v>
      </c>
      <c r="AU33" s="690"/>
      <c r="AV33" s="1019">
        <f t="shared" si="8"/>
        <v>0</v>
      </c>
      <c r="AW33" s="654"/>
    </row>
    <row r="34" spans="1:51" ht="15.75">
      <c r="A34" s="2" t="s">
        <v>165</v>
      </c>
      <c r="B34" s="544"/>
      <c r="C34" s="544"/>
      <c r="D34" s="544"/>
      <c r="E34" s="544">
        <v>200000</v>
      </c>
      <c r="F34" s="567">
        <f t="shared" si="24"/>
        <v>200000</v>
      </c>
      <c r="G34" s="540"/>
      <c r="H34" s="875"/>
      <c r="I34" s="901"/>
      <c r="J34" s="849"/>
      <c r="K34" s="798"/>
      <c r="L34" s="927"/>
      <c r="M34" s="544"/>
      <c r="N34" s="544"/>
      <c r="O34" s="544"/>
      <c r="P34" s="544"/>
      <c r="Q34" s="544"/>
      <c r="R34" s="544"/>
      <c r="S34" s="544"/>
      <c r="T34" s="544"/>
      <c r="U34" s="567">
        <f t="shared" si="25"/>
        <v>0</v>
      </c>
      <c r="V34" s="2" t="s">
        <v>165</v>
      </c>
      <c r="W34" s="540"/>
      <c r="X34" s="1456"/>
      <c r="Y34" s="953"/>
      <c r="Z34" s="979"/>
      <c r="AA34" s="1348"/>
      <c r="AB34" s="772"/>
      <c r="AC34" s="772"/>
      <c r="AD34" s="1400"/>
      <c r="AE34" s="1400"/>
      <c r="AF34" s="1374"/>
      <c r="AG34" s="1374"/>
      <c r="AH34" s="742"/>
      <c r="AI34" s="742"/>
      <c r="AJ34" s="2" t="s">
        <v>165</v>
      </c>
      <c r="AK34" s="540"/>
      <c r="AL34" s="540"/>
      <c r="AM34" s="1426"/>
      <c r="AN34" s="1426"/>
      <c r="AO34" s="716"/>
      <c r="AP34" s="716"/>
      <c r="AQ34" s="716"/>
      <c r="AR34" s="716"/>
      <c r="AS34" s="665"/>
      <c r="AT34" s="627">
        <f t="shared" si="4"/>
        <v>0</v>
      </c>
      <c r="AU34" s="690"/>
      <c r="AV34" s="1019">
        <f t="shared" si="8"/>
        <v>200000</v>
      </c>
      <c r="AW34" s="654"/>
    </row>
    <row r="35" spans="1:51" ht="15.75">
      <c r="A35" s="2" t="s">
        <v>30</v>
      </c>
      <c r="B35" s="544"/>
      <c r="C35" s="544"/>
      <c r="D35" s="544"/>
      <c r="E35" s="544">
        <v>50000</v>
      </c>
      <c r="F35" s="567">
        <f t="shared" si="24"/>
        <v>50000</v>
      </c>
      <c r="G35" s="540"/>
      <c r="H35" s="875"/>
      <c r="I35" s="901"/>
      <c r="J35" s="849"/>
      <c r="K35" s="798"/>
      <c r="L35" s="927"/>
      <c r="M35" s="544"/>
      <c r="N35" s="544"/>
      <c r="O35" s="544"/>
      <c r="P35" s="544"/>
      <c r="Q35" s="544"/>
      <c r="R35" s="544"/>
      <c r="S35" s="544"/>
      <c r="T35" s="544"/>
      <c r="U35" s="567">
        <f t="shared" si="25"/>
        <v>0</v>
      </c>
      <c r="V35" s="2" t="s">
        <v>30</v>
      </c>
      <c r="W35" s="540"/>
      <c r="X35" s="1456"/>
      <c r="Y35" s="953"/>
      <c r="Z35" s="979"/>
      <c r="AA35" s="1348"/>
      <c r="AB35" s="772"/>
      <c r="AC35" s="772"/>
      <c r="AD35" s="1400"/>
      <c r="AE35" s="1400"/>
      <c r="AF35" s="1374"/>
      <c r="AG35" s="1374"/>
      <c r="AH35" s="742"/>
      <c r="AI35" s="742"/>
      <c r="AJ35" s="2" t="s">
        <v>30</v>
      </c>
      <c r="AK35" s="540"/>
      <c r="AL35" s="540"/>
      <c r="AM35" s="1426"/>
      <c r="AN35" s="1426"/>
      <c r="AO35" s="716"/>
      <c r="AP35" s="716"/>
      <c r="AQ35" s="716"/>
      <c r="AR35" s="716"/>
      <c r="AS35" s="665"/>
      <c r="AT35" s="627">
        <f t="shared" si="4"/>
        <v>0</v>
      </c>
      <c r="AU35" s="690"/>
      <c r="AV35" s="1019">
        <f t="shared" si="8"/>
        <v>50000</v>
      </c>
      <c r="AW35" s="654"/>
    </row>
    <row r="36" spans="1:51" ht="30">
      <c r="A36" s="2" t="s">
        <v>31</v>
      </c>
      <c r="B36" s="544"/>
      <c r="C36" s="544"/>
      <c r="D36" s="544"/>
      <c r="E36" s="544"/>
      <c r="F36" s="567">
        <f t="shared" si="24"/>
        <v>0</v>
      </c>
      <c r="G36" s="540"/>
      <c r="H36" s="875"/>
      <c r="I36" s="901"/>
      <c r="J36" s="849"/>
      <c r="K36" s="798"/>
      <c r="L36" s="927"/>
      <c r="M36" s="544"/>
      <c r="N36" s="544"/>
      <c r="O36" s="544"/>
      <c r="P36" s="544"/>
      <c r="Q36" s="544"/>
      <c r="R36" s="544"/>
      <c r="S36" s="544"/>
      <c r="T36" s="544"/>
      <c r="U36" s="567">
        <f t="shared" si="25"/>
        <v>0</v>
      </c>
      <c r="V36" s="2" t="s">
        <v>31</v>
      </c>
      <c r="W36" s="540"/>
      <c r="X36" s="1456"/>
      <c r="Y36" s="953"/>
      <c r="Z36" s="979"/>
      <c r="AA36" s="1348"/>
      <c r="AB36" s="772"/>
      <c r="AC36" s="772"/>
      <c r="AD36" s="1400"/>
      <c r="AE36" s="1400"/>
      <c r="AF36" s="1374"/>
      <c r="AG36" s="1374"/>
      <c r="AH36" s="742"/>
      <c r="AI36" s="742"/>
      <c r="AJ36" s="2" t="s">
        <v>31</v>
      </c>
      <c r="AK36" s="540"/>
      <c r="AL36" s="540"/>
      <c r="AM36" s="1426"/>
      <c r="AN36" s="1426"/>
      <c r="AO36" s="716"/>
      <c r="AP36" s="716"/>
      <c r="AQ36" s="716"/>
      <c r="AR36" s="716"/>
      <c r="AS36" s="665"/>
      <c r="AT36" s="627">
        <f t="shared" si="4"/>
        <v>0</v>
      </c>
      <c r="AU36" s="690"/>
      <c r="AV36" s="1019">
        <f t="shared" si="8"/>
        <v>0</v>
      </c>
      <c r="AW36" s="654"/>
    </row>
    <row r="37" spans="1:51" ht="15.75">
      <c r="A37" s="2" t="s">
        <v>166</v>
      </c>
      <c r="B37" s="544"/>
      <c r="C37" s="544"/>
      <c r="D37" s="544"/>
      <c r="E37" s="544"/>
      <c r="F37" s="567">
        <f t="shared" si="24"/>
        <v>0</v>
      </c>
      <c r="G37" s="540"/>
      <c r="H37" s="875"/>
      <c r="I37" s="901"/>
      <c r="J37" s="849"/>
      <c r="K37" s="798"/>
      <c r="L37" s="927"/>
      <c r="M37" s="544"/>
      <c r="N37" s="544"/>
      <c r="O37" s="544"/>
      <c r="P37" s="544"/>
      <c r="Q37" s="544"/>
      <c r="R37" s="544"/>
      <c r="S37" s="544"/>
      <c r="T37" s="544"/>
      <c r="U37" s="567">
        <f t="shared" si="25"/>
        <v>0</v>
      </c>
      <c r="V37" s="2" t="s">
        <v>166</v>
      </c>
      <c r="W37" s="540"/>
      <c r="X37" s="1456"/>
      <c r="Y37" s="953"/>
      <c r="Z37" s="979"/>
      <c r="AA37" s="1348"/>
      <c r="AB37" s="772"/>
      <c r="AC37" s="772"/>
      <c r="AD37" s="1400"/>
      <c r="AE37" s="1400"/>
      <c r="AF37" s="1374"/>
      <c r="AG37" s="1374"/>
      <c r="AH37" s="742"/>
      <c r="AI37" s="742"/>
      <c r="AJ37" s="2" t="s">
        <v>166</v>
      </c>
      <c r="AK37" s="540"/>
      <c r="AL37" s="540"/>
      <c r="AM37" s="1426"/>
      <c r="AN37" s="1426"/>
      <c r="AO37" s="716"/>
      <c r="AP37" s="716"/>
      <c r="AQ37" s="716"/>
      <c r="AR37" s="716"/>
      <c r="AS37" s="665"/>
      <c r="AT37" s="627">
        <f t="shared" si="4"/>
        <v>0</v>
      </c>
      <c r="AU37" s="690"/>
      <c r="AV37" s="1019">
        <f t="shared" si="8"/>
        <v>0</v>
      </c>
      <c r="AW37" s="654"/>
    </row>
    <row r="38" spans="1:51" ht="49.9" customHeight="1">
      <c r="A38" s="2" t="s">
        <v>627</v>
      </c>
      <c r="B38" s="544"/>
      <c r="C38" s="544"/>
      <c r="D38" s="544"/>
      <c r="E38" s="544">
        <v>300000</v>
      </c>
      <c r="F38" s="567">
        <f t="shared" si="24"/>
        <v>300000</v>
      </c>
      <c r="G38" s="540"/>
      <c r="H38" s="875"/>
      <c r="I38" s="901">
        <v>300000</v>
      </c>
      <c r="J38" s="849"/>
      <c r="K38" s="798"/>
      <c r="L38" s="927"/>
      <c r="M38" s="544"/>
      <c r="N38" s="544"/>
      <c r="O38" s="544"/>
      <c r="P38" s="544"/>
      <c r="Q38" s="544"/>
      <c r="R38" s="544"/>
      <c r="S38" s="544"/>
      <c r="T38" s="544"/>
      <c r="U38" s="567">
        <f t="shared" si="25"/>
        <v>0</v>
      </c>
      <c r="V38" s="2" t="s">
        <v>627</v>
      </c>
      <c r="W38" s="540">
        <v>500000</v>
      </c>
      <c r="X38" s="1456"/>
      <c r="Y38" s="953"/>
      <c r="Z38" s="979">
        <v>300000</v>
      </c>
      <c r="AA38" s="1348">
        <v>600000</v>
      </c>
      <c r="AB38" s="772">
        <v>50000</v>
      </c>
      <c r="AC38" s="772"/>
      <c r="AD38" s="1400"/>
      <c r="AE38" s="1400"/>
      <c r="AF38" s="1374">
        <v>5000</v>
      </c>
      <c r="AG38" s="1374">
        <v>45000</v>
      </c>
      <c r="AH38" s="742">
        <v>200000</v>
      </c>
      <c r="AI38" s="742">
        <v>600000</v>
      </c>
      <c r="AJ38" s="2" t="s">
        <v>627</v>
      </c>
      <c r="AK38" s="540"/>
      <c r="AL38" s="540"/>
      <c r="AM38" s="1426"/>
      <c r="AN38" s="1426">
        <v>200000</v>
      </c>
      <c r="AO38" s="716"/>
      <c r="AP38" s="716"/>
      <c r="AQ38" s="716">
        <v>200000</v>
      </c>
      <c r="AR38" s="716"/>
      <c r="AS38" s="665"/>
      <c r="AT38" s="627">
        <f t="shared" si="4"/>
        <v>0</v>
      </c>
      <c r="AU38" s="690"/>
      <c r="AV38" s="1019">
        <f t="shared" si="8"/>
        <v>3300000</v>
      </c>
      <c r="AW38" s="654"/>
    </row>
    <row r="39" spans="1:51" ht="16.5" thickBot="1">
      <c r="A39" s="525" t="s">
        <v>32</v>
      </c>
      <c r="B39" s="550">
        <f t="shared" ref="B39:L39" si="26">SUM(B33:B38)</f>
        <v>0</v>
      </c>
      <c r="C39" s="550">
        <f>SUM(C33:C38)</f>
        <v>0</v>
      </c>
      <c r="D39" s="550">
        <f>SUM(D33:D38)</f>
        <v>0</v>
      </c>
      <c r="E39" s="550">
        <f>SUM(E33:E38)</f>
        <v>550000</v>
      </c>
      <c r="F39" s="526">
        <f t="shared" si="26"/>
        <v>550000</v>
      </c>
      <c r="G39" s="532">
        <f t="shared" si="26"/>
        <v>0</v>
      </c>
      <c r="H39" s="880">
        <f t="shared" si="26"/>
        <v>0</v>
      </c>
      <c r="I39" s="906">
        <f t="shared" si="26"/>
        <v>300000</v>
      </c>
      <c r="J39" s="854">
        <f t="shared" si="26"/>
        <v>0</v>
      </c>
      <c r="K39" s="803">
        <f t="shared" si="26"/>
        <v>0</v>
      </c>
      <c r="L39" s="932">
        <f t="shared" si="26"/>
        <v>0</v>
      </c>
      <c r="M39" s="550">
        <f t="shared" ref="M39:U39" si="27">SUM(M33:M38)</f>
        <v>0</v>
      </c>
      <c r="N39" s="550">
        <f t="shared" si="27"/>
        <v>0</v>
      </c>
      <c r="O39" s="550">
        <f t="shared" si="27"/>
        <v>0</v>
      </c>
      <c r="P39" s="550">
        <f t="shared" si="27"/>
        <v>0</v>
      </c>
      <c r="Q39" s="550">
        <f t="shared" si="27"/>
        <v>0</v>
      </c>
      <c r="R39" s="550">
        <f t="shared" si="27"/>
        <v>0</v>
      </c>
      <c r="S39" s="550">
        <f t="shared" si="27"/>
        <v>0</v>
      </c>
      <c r="T39" s="550">
        <f t="shared" si="27"/>
        <v>0</v>
      </c>
      <c r="U39" s="526">
        <f t="shared" si="27"/>
        <v>0</v>
      </c>
      <c r="V39" s="525" t="s">
        <v>32</v>
      </c>
      <c r="W39" s="532">
        <f>SUM(W33:W38)</f>
        <v>500000</v>
      </c>
      <c r="X39" s="1461">
        <f t="shared" ref="X39:AU39" si="28">SUM(X33:X38)</f>
        <v>0</v>
      </c>
      <c r="Y39" s="958">
        <f t="shared" si="28"/>
        <v>0</v>
      </c>
      <c r="Z39" s="984">
        <f t="shared" si="28"/>
        <v>300000</v>
      </c>
      <c r="AA39" s="1353">
        <f t="shared" si="28"/>
        <v>600000</v>
      </c>
      <c r="AB39" s="777">
        <f t="shared" si="28"/>
        <v>50000</v>
      </c>
      <c r="AC39" s="777">
        <f t="shared" si="28"/>
        <v>0</v>
      </c>
      <c r="AD39" s="1405">
        <f t="shared" si="28"/>
        <v>0</v>
      </c>
      <c r="AE39" s="1405">
        <f t="shared" si="28"/>
        <v>0</v>
      </c>
      <c r="AF39" s="1379">
        <f>SUM(AF33:AF38)</f>
        <v>5000</v>
      </c>
      <c r="AG39" s="1379">
        <f>SUM(AG33:AG38)</f>
        <v>45000</v>
      </c>
      <c r="AH39" s="747">
        <f>SUM(AH33:AH38)</f>
        <v>200000</v>
      </c>
      <c r="AI39" s="747">
        <f>SUM(AI33:AI38)</f>
        <v>600000</v>
      </c>
      <c r="AJ39" s="525" t="s">
        <v>32</v>
      </c>
      <c r="AK39" s="532">
        <f>SUM(AK33:AK38)</f>
        <v>0</v>
      </c>
      <c r="AL39" s="532">
        <f>SUM(AL33:AL38)</f>
        <v>0</v>
      </c>
      <c r="AM39" s="1431">
        <f>SUM(AM33:AM38)</f>
        <v>0</v>
      </c>
      <c r="AN39" s="1431">
        <f>SUM(AN33:AN38)</f>
        <v>200000</v>
      </c>
      <c r="AO39" s="721">
        <f t="shared" si="28"/>
        <v>0</v>
      </c>
      <c r="AP39" s="721">
        <f t="shared" si="28"/>
        <v>0</v>
      </c>
      <c r="AQ39" s="721">
        <f>SUM(AQ33:AQ38)</f>
        <v>200000</v>
      </c>
      <c r="AR39" s="721">
        <f t="shared" si="28"/>
        <v>0</v>
      </c>
      <c r="AS39" s="671">
        <f t="shared" si="28"/>
        <v>0</v>
      </c>
      <c r="AT39" s="628">
        <f t="shared" si="28"/>
        <v>0</v>
      </c>
      <c r="AU39" s="695">
        <f t="shared" si="28"/>
        <v>0</v>
      </c>
      <c r="AV39" s="1020">
        <f t="shared" si="8"/>
        <v>3550000</v>
      </c>
      <c r="AW39" s="654"/>
    </row>
    <row r="40" spans="1:51" ht="15.75">
      <c r="A40" s="1545" t="s">
        <v>33</v>
      </c>
      <c r="B40" s="1546">
        <f t="shared" ref="B40:U40" si="29">B32+B39</f>
        <v>0</v>
      </c>
      <c r="C40" s="1546">
        <f t="shared" si="29"/>
        <v>0</v>
      </c>
      <c r="D40" s="1546">
        <f t="shared" si="29"/>
        <v>0</v>
      </c>
      <c r="E40" s="1546">
        <f t="shared" si="29"/>
        <v>890000</v>
      </c>
      <c r="F40" s="1547">
        <f t="shared" si="29"/>
        <v>890000</v>
      </c>
      <c r="G40" s="1548">
        <f t="shared" si="29"/>
        <v>0</v>
      </c>
      <c r="H40" s="1549">
        <f t="shared" si="29"/>
        <v>0</v>
      </c>
      <c r="I40" s="1550">
        <f t="shared" si="29"/>
        <v>300000</v>
      </c>
      <c r="J40" s="1551">
        <f t="shared" si="29"/>
        <v>0</v>
      </c>
      <c r="K40" s="1552">
        <f t="shared" si="29"/>
        <v>0</v>
      </c>
      <c r="L40" s="1553">
        <f t="shared" si="29"/>
        <v>0</v>
      </c>
      <c r="M40" s="1546">
        <f t="shared" si="29"/>
        <v>0</v>
      </c>
      <c r="N40" s="1546">
        <f t="shared" si="29"/>
        <v>0</v>
      </c>
      <c r="O40" s="1546">
        <f t="shared" si="29"/>
        <v>0</v>
      </c>
      <c r="P40" s="1546">
        <f t="shared" si="29"/>
        <v>0</v>
      </c>
      <c r="Q40" s="1546">
        <f t="shared" si="29"/>
        <v>0</v>
      </c>
      <c r="R40" s="1546">
        <f t="shared" si="29"/>
        <v>0</v>
      </c>
      <c r="S40" s="1546">
        <f t="shared" si="29"/>
        <v>0</v>
      </c>
      <c r="T40" s="1546">
        <f t="shared" si="29"/>
        <v>0</v>
      </c>
      <c r="U40" s="1547">
        <f t="shared" si="29"/>
        <v>0</v>
      </c>
      <c r="V40" s="1545" t="s">
        <v>33</v>
      </c>
      <c r="W40" s="1548">
        <f t="shared" ref="W40:AI40" si="30">W32+W39</f>
        <v>500000</v>
      </c>
      <c r="X40" s="1554">
        <f t="shared" si="30"/>
        <v>0</v>
      </c>
      <c r="Y40" s="1555">
        <f t="shared" si="30"/>
        <v>0</v>
      </c>
      <c r="Z40" s="1556">
        <f t="shared" si="30"/>
        <v>300000</v>
      </c>
      <c r="AA40" s="1557">
        <f t="shared" si="30"/>
        <v>600000</v>
      </c>
      <c r="AB40" s="1558">
        <f t="shared" si="30"/>
        <v>50000</v>
      </c>
      <c r="AC40" s="1558">
        <f t="shared" si="30"/>
        <v>0</v>
      </c>
      <c r="AD40" s="1559">
        <f t="shared" si="30"/>
        <v>0</v>
      </c>
      <c r="AE40" s="1559">
        <f t="shared" si="30"/>
        <v>0</v>
      </c>
      <c r="AF40" s="1560">
        <f t="shared" si="30"/>
        <v>55000</v>
      </c>
      <c r="AG40" s="1560">
        <f t="shared" si="30"/>
        <v>135000</v>
      </c>
      <c r="AH40" s="1561">
        <f t="shared" si="30"/>
        <v>200000</v>
      </c>
      <c r="AI40" s="1561">
        <f t="shared" si="30"/>
        <v>600000</v>
      </c>
      <c r="AJ40" s="1545" t="s">
        <v>33</v>
      </c>
      <c r="AK40" s="1548">
        <f t="shared" ref="AK40:AU40" si="31">AK32+AK39</f>
        <v>0</v>
      </c>
      <c r="AL40" s="1548">
        <f t="shared" si="31"/>
        <v>0</v>
      </c>
      <c r="AM40" s="1562">
        <f t="shared" si="31"/>
        <v>0</v>
      </c>
      <c r="AN40" s="1562">
        <f t="shared" si="31"/>
        <v>200000</v>
      </c>
      <c r="AO40" s="1563">
        <f t="shared" si="31"/>
        <v>0</v>
      </c>
      <c r="AP40" s="1563">
        <f t="shared" si="31"/>
        <v>0</v>
      </c>
      <c r="AQ40" s="1563">
        <f t="shared" si="31"/>
        <v>200000</v>
      </c>
      <c r="AR40" s="1563">
        <f t="shared" si="31"/>
        <v>0</v>
      </c>
      <c r="AS40" s="1564">
        <f t="shared" si="31"/>
        <v>0</v>
      </c>
      <c r="AT40" s="1565">
        <f t="shared" si="31"/>
        <v>0</v>
      </c>
      <c r="AU40" s="1566">
        <f t="shared" si="31"/>
        <v>0</v>
      </c>
      <c r="AV40" s="25">
        <f t="shared" si="8"/>
        <v>4030000</v>
      </c>
      <c r="AW40" s="654"/>
    </row>
    <row r="41" spans="1:51" ht="30">
      <c r="A41" s="527" t="s">
        <v>34</v>
      </c>
      <c r="B41" s="543"/>
      <c r="C41" s="543"/>
      <c r="D41" s="543"/>
      <c r="E41" s="543"/>
      <c r="F41" s="568">
        <f>SUM(B41:E41)</f>
        <v>0</v>
      </c>
      <c r="G41" s="571"/>
      <c r="H41" s="882"/>
      <c r="I41" s="908"/>
      <c r="J41" s="856"/>
      <c r="K41" s="805"/>
      <c r="L41" s="934"/>
      <c r="M41" s="543"/>
      <c r="N41" s="543"/>
      <c r="O41" s="543"/>
      <c r="P41" s="543"/>
      <c r="Q41" s="543"/>
      <c r="R41" s="543"/>
      <c r="S41" s="543"/>
      <c r="T41" s="543"/>
      <c r="U41" s="568">
        <f>SUM(M41:T41)</f>
        <v>0</v>
      </c>
      <c r="V41" s="527" t="s">
        <v>34</v>
      </c>
      <c r="W41" s="571"/>
      <c r="X41" s="1463"/>
      <c r="Y41" s="960"/>
      <c r="Z41" s="986"/>
      <c r="AA41" s="1355"/>
      <c r="AB41" s="779"/>
      <c r="AC41" s="779"/>
      <c r="AD41" s="1407"/>
      <c r="AE41" s="1407"/>
      <c r="AF41" s="1381"/>
      <c r="AG41" s="1381"/>
      <c r="AH41" s="749"/>
      <c r="AI41" s="749"/>
      <c r="AJ41" s="527" t="s">
        <v>34</v>
      </c>
      <c r="AK41" s="571"/>
      <c r="AL41" s="571"/>
      <c r="AM41" s="1433"/>
      <c r="AN41" s="1433"/>
      <c r="AO41" s="723"/>
      <c r="AP41" s="723"/>
      <c r="AQ41" s="723"/>
      <c r="AR41" s="723"/>
      <c r="AS41" s="664"/>
      <c r="AT41" s="631"/>
      <c r="AU41" s="697"/>
      <c r="AV41" s="1544">
        <f t="shared" si="8"/>
        <v>0</v>
      </c>
      <c r="AW41" s="654"/>
    </row>
    <row r="42" spans="1:51" ht="75">
      <c r="A42" s="2" t="s">
        <v>746</v>
      </c>
      <c r="B42" s="544"/>
      <c r="C42" s="544"/>
      <c r="D42" s="544"/>
      <c r="E42" s="544">
        <f>180000+170000+390000</f>
        <v>740000</v>
      </c>
      <c r="F42" s="567">
        <f>SUM(B42:E42)</f>
        <v>740000</v>
      </c>
      <c r="G42" s="540"/>
      <c r="H42" s="875"/>
      <c r="I42" s="901"/>
      <c r="J42" s="849"/>
      <c r="K42" s="798"/>
      <c r="L42" s="927"/>
      <c r="M42" s="544"/>
      <c r="N42" s="544"/>
      <c r="O42" s="544"/>
      <c r="P42" s="544"/>
      <c r="Q42" s="544"/>
      <c r="R42" s="544"/>
      <c r="S42" s="544"/>
      <c r="T42" s="544"/>
      <c r="U42" s="567">
        <f>SUM(M42:T42)</f>
        <v>0</v>
      </c>
      <c r="V42" s="2" t="s">
        <v>629</v>
      </c>
      <c r="W42" s="540"/>
      <c r="X42" s="1456"/>
      <c r="Y42" s="953"/>
      <c r="Z42" s="979"/>
      <c r="AA42" s="1348"/>
      <c r="AB42" s="772"/>
      <c r="AC42" s="772"/>
      <c r="AD42" s="1400"/>
      <c r="AE42" s="1400"/>
      <c r="AF42" s="1374"/>
      <c r="AG42" s="1374">
        <f>100000</f>
        <v>100000</v>
      </c>
      <c r="AH42" s="742"/>
      <c r="AI42" s="742"/>
      <c r="AJ42" s="2" t="s">
        <v>629</v>
      </c>
      <c r="AK42" s="540"/>
      <c r="AL42" s="540"/>
      <c r="AM42" s="1426"/>
      <c r="AN42" s="1426"/>
      <c r="AO42" s="716"/>
      <c r="AP42" s="716"/>
      <c r="AQ42" s="716"/>
      <c r="AR42" s="716"/>
      <c r="AS42" s="665"/>
      <c r="AT42" s="627">
        <f>SUM(AS42:AS42)</f>
        <v>0</v>
      </c>
      <c r="AU42" s="690"/>
      <c r="AV42" s="1019">
        <f t="shared" si="8"/>
        <v>840000</v>
      </c>
      <c r="AW42" s="654"/>
    </row>
    <row r="43" spans="1:51" ht="30">
      <c r="A43" s="2" t="s">
        <v>35</v>
      </c>
      <c r="B43" s="544"/>
      <c r="C43" s="544"/>
      <c r="D43" s="544"/>
      <c r="E43" s="544"/>
      <c r="F43" s="567">
        <f>SUM(B43:E43)</f>
        <v>0</v>
      </c>
      <c r="G43" s="540"/>
      <c r="H43" s="875"/>
      <c r="I43" s="901"/>
      <c r="J43" s="849"/>
      <c r="K43" s="798"/>
      <c r="L43" s="927"/>
      <c r="M43" s="544"/>
      <c r="N43" s="544"/>
      <c r="O43" s="544"/>
      <c r="P43" s="544"/>
      <c r="Q43" s="544"/>
      <c r="R43" s="544"/>
      <c r="S43" s="544"/>
      <c r="T43" s="544"/>
      <c r="U43" s="567">
        <f>SUM(M43:T43)</f>
        <v>0</v>
      </c>
      <c r="V43" s="2" t="s">
        <v>35</v>
      </c>
      <c r="W43" s="540"/>
      <c r="X43" s="1456"/>
      <c r="Y43" s="953"/>
      <c r="Z43" s="979"/>
      <c r="AA43" s="1348"/>
      <c r="AB43" s="772"/>
      <c r="AC43" s="772"/>
      <c r="AD43" s="1400"/>
      <c r="AE43" s="1400"/>
      <c r="AF43" s="1374"/>
      <c r="AG43" s="1374"/>
      <c r="AH43" s="742"/>
      <c r="AI43" s="742"/>
      <c r="AJ43" s="2" t="s">
        <v>35</v>
      </c>
      <c r="AK43" s="540"/>
      <c r="AL43" s="540"/>
      <c r="AM43" s="1426"/>
      <c r="AN43" s="1426"/>
      <c r="AO43" s="716"/>
      <c r="AP43" s="716"/>
      <c r="AQ43" s="716"/>
      <c r="AR43" s="716"/>
      <c r="AS43" s="665"/>
      <c r="AT43" s="627">
        <f>SUM(AS43:AS43)</f>
        <v>0</v>
      </c>
      <c r="AU43" s="690"/>
      <c r="AV43" s="1019">
        <f t="shared" si="8"/>
        <v>0</v>
      </c>
      <c r="AW43" s="654"/>
    </row>
    <row r="44" spans="1:51" ht="60">
      <c r="A44" s="2" t="s">
        <v>744</v>
      </c>
      <c r="B44" s="544"/>
      <c r="C44" s="544"/>
      <c r="D44" s="544"/>
      <c r="E44" s="544">
        <f>9000*12+7000*12+2000*12</f>
        <v>216000</v>
      </c>
      <c r="F44" s="567">
        <f>SUM(B44:E44)</f>
        <v>216000</v>
      </c>
      <c r="G44" s="540"/>
      <c r="H44" s="875">
        <f>4000*12</f>
        <v>48000</v>
      </c>
      <c r="I44" s="901">
        <f>1000*12</f>
        <v>12000</v>
      </c>
      <c r="J44" s="849"/>
      <c r="K44" s="798"/>
      <c r="L44" s="927"/>
      <c r="M44" s="544"/>
      <c r="N44" s="544"/>
      <c r="O44" s="544"/>
      <c r="P44" s="544"/>
      <c r="Q44" s="544"/>
      <c r="R44" s="544"/>
      <c r="S44" s="544"/>
      <c r="T44" s="544"/>
      <c r="U44" s="567">
        <f>SUM(M44:T44)</f>
        <v>0</v>
      </c>
      <c r="V44" s="2" t="s">
        <v>630</v>
      </c>
      <c r="W44" s="540"/>
      <c r="X44" s="1456"/>
      <c r="Y44" s="953"/>
      <c r="Z44" s="979">
        <f>1000*12</f>
        <v>12000</v>
      </c>
      <c r="AA44" s="1348"/>
      <c r="AB44" s="772">
        <f>1000*12</f>
        <v>12000</v>
      </c>
      <c r="AC44" s="772"/>
      <c r="AD44" s="1400"/>
      <c r="AE44" s="1400"/>
      <c r="AF44" s="1374"/>
      <c r="AG44" s="1374">
        <f>1000*12</f>
        <v>12000</v>
      </c>
      <c r="AH44" s="742">
        <f>7000*12</f>
        <v>84000</v>
      </c>
      <c r="AI44" s="742"/>
      <c r="AJ44" s="2" t="s">
        <v>630</v>
      </c>
      <c r="AK44" s="540"/>
      <c r="AL44" s="540"/>
      <c r="AM44" s="1426"/>
      <c r="AN44" s="1426"/>
      <c r="AO44" s="716"/>
      <c r="AP44" s="716"/>
      <c r="AQ44" s="716"/>
      <c r="AR44" s="716">
        <f>1000*12</f>
        <v>12000</v>
      </c>
      <c r="AS44" s="665"/>
      <c r="AT44" s="627">
        <f>SUM(AS44:AS44)</f>
        <v>0</v>
      </c>
      <c r="AU44" s="690"/>
      <c r="AV44" s="1019">
        <f t="shared" si="8"/>
        <v>408000</v>
      </c>
      <c r="AW44" s="654"/>
    </row>
    <row r="45" spans="1:51" ht="30">
      <c r="A45" s="10" t="s">
        <v>167</v>
      </c>
      <c r="B45" s="549">
        <f t="shared" ref="B45:L45" si="32">SUM(B41:B44)</f>
        <v>0</v>
      </c>
      <c r="C45" s="549">
        <f>SUM(C41:C44)</f>
        <v>0</v>
      </c>
      <c r="D45" s="549">
        <f>SUM(D41:D44)</f>
        <v>0</v>
      </c>
      <c r="E45" s="549">
        <f t="shared" si="32"/>
        <v>956000</v>
      </c>
      <c r="F45" s="26">
        <f t="shared" si="32"/>
        <v>956000</v>
      </c>
      <c r="G45" s="535">
        <f t="shared" si="32"/>
        <v>0</v>
      </c>
      <c r="H45" s="879">
        <f t="shared" si="32"/>
        <v>48000</v>
      </c>
      <c r="I45" s="905">
        <f t="shared" si="32"/>
        <v>12000</v>
      </c>
      <c r="J45" s="853">
        <f t="shared" si="32"/>
        <v>0</v>
      </c>
      <c r="K45" s="802">
        <f t="shared" si="32"/>
        <v>0</v>
      </c>
      <c r="L45" s="931">
        <f t="shared" si="32"/>
        <v>0</v>
      </c>
      <c r="M45" s="549">
        <f t="shared" ref="M45:U45" si="33">SUM(M41:M44)</f>
        <v>0</v>
      </c>
      <c r="N45" s="549">
        <f t="shared" si="33"/>
        <v>0</v>
      </c>
      <c r="O45" s="549">
        <f t="shared" si="33"/>
        <v>0</v>
      </c>
      <c r="P45" s="549">
        <f t="shared" si="33"/>
        <v>0</v>
      </c>
      <c r="Q45" s="549">
        <f t="shared" si="33"/>
        <v>0</v>
      </c>
      <c r="R45" s="549">
        <f t="shared" si="33"/>
        <v>0</v>
      </c>
      <c r="S45" s="549">
        <f t="shared" si="33"/>
        <v>0</v>
      </c>
      <c r="T45" s="549">
        <f t="shared" si="33"/>
        <v>0</v>
      </c>
      <c r="U45" s="26">
        <f t="shared" si="33"/>
        <v>0</v>
      </c>
      <c r="V45" s="10" t="s">
        <v>167</v>
      </c>
      <c r="W45" s="535">
        <f>SUM(W41:W44)</f>
        <v>0</v>
      </c>
      <c r="X45" s="1460">
        <f t="shared" ref="X45:AS45" si="34">SUM(X41:X44)</f>
        <v>0</v>
      </c>
      <c r="Y45" s="957">
        <f t="shared" si="34"/>
        <v>0</v>
      </c>
      <c r="Z45" s="983">
        <f t="shared" si="34"/>
        <v>12000</v>
      </c>
      <c r="AA45" s="1352">
        <f t="shared" si="34"/>
        <v>0</v>
      </c>
      <c r="AB45" s="776">
        <f t="shared" si="34"/>
        <v>12000</v>
      </c>
      <c r="AC45" s="776">
        <f t="shared" si="34"/>
        <v>0</v>
      </c>
      <c r="AD45" s="1404">
        <f t="shared" si="34"/>
        <v>0</v>
      </c>
      <c r="AE45" s="1404">
        <f t="shared" si="34"/>
        <v>0</v>
      </c>
      <c r="AF45" s="1378">
        <f>SUM(AF41:AF44)</f>
        <v>0</v>
      </c>
      <c r="AG45" s="1378">
        <f>SUM(AG41:AG44)</f>
        <v>112000</v>
      </c>
      <c r="AH45" s="746">
        <f>SUM(AH41:AH44)</f>
        <v>84000</v>
      </c>
      <c r="AI45" s="746">
        <f>SUM(AI41:AI44)</f>
        <v>0</v>
      </c>
      <c r="AJ45" s="10" t="s">
        <v>167</v>
      </c>
      <c r="AK45" s="535">
        <f>SUM(AK41:AK44)</f>
        <v>0</v>
      </c>
      <c r="AL45" s="535">
        <f>SUM(AL41:AL44)</f>
        <v>0</v>
      </c>
      <c r="AM45" s="1430">
        <f>SUM(AM41:AM44)</f>
        <v>0</v>
      </c>
      <c r="AN45" s="1430">
        <f>SUM(AN41:AN44)</f>
        <v>0</v>
      </c>
      <c r="AO45" s="720">
        <f t="shared" si="34"/>
        <v>0</v>
      </c>
      <c r="AP45" s="720">
        <f t="shared" si="34"/>
        <v>0</v>
      </c>
      <c r="AQ45" s="720">
        <f>SUM(AQ41:AQ44)</f>
        <v>0</v>
      </c>
      <c r="AR45" s="720">
        <f t="shared" si="34"/>
        <v>12000</v>
      </c>
      <c r="AS45" s="670">
        <f t="shared" si="34"/>
        <v>0</v>
      </c>
      <c r="AT45" s="627">
        <f>SUM(AS45:AS45)</f>
        <v>0</v>
      </c>
      <c r="AU45" s="694">
        <f>SUM(AU41:AU44)</f>
        <v>0</v>
      </c>
      <c r="AV45" s="1019">
        <f t="shared" si="8"/>
        <v>1248000</v>
      </c>
      <c r="AW45" s="654"/>
    </row>
    <row r="46" spans="1:51" ht="30.75" thickBot="1">
      <c r="A46" s="525" t="s">
        <v>168</v>
      </c>
      <c r="B46" s="550"/>
      <c r="C46" s="550"/>
      <c r="D46" s="550"/>
      <c r="E46" s="550">
        <f>8000*12+8000*12</f>
        <v>192000</v>
      </c>
      <c r="F46" s="620">
        <f>SUM(B46:E46)</f>
        <v>192000</v>
      </c>
      <c r="G46" s="572"/>
      <c r="H46" s="883"/>
      <c r="I46" s="909">
        <f>3000*12</f>
        <v>36000</v>
      </c>
      <c r="J46" s="857"/>
      <c r="K46" s="806"/>
      <c r="L46" s="935"/>
      <c r="M46" s="550"/>
      <c r="N46" s="550"/>
      <c r="O46" s="550"/>
      <c r="P46" s="550"/>
      <c r="Q46" s="550"/>
      <c r="R46" s="550"/>
      <c r="S46" s="550"/>
      <c r="T46" s="550"/>
      <c r="U46" s="620">
        <f>SUM(M46:T46)</f>
        <v>0</v>
      </c>
      <c r="V46" s="525" t="s">
        <v>168</v>
      </c>
      <c r="W46" s="572"/>
      <c r="X46" s="1464"/>
      <c r="Y46" s="961"/>
      <c r="Z46" s="987">
        <f>2000*12</f>
        <v>24000</v>
      </c>
      <c r="AA46" s="1356"/>
      <c r="AB46" s="780">
        <f>5000*12+3000*12</f>
        <v>96000</v>
      </c>
      <c r="AC46" s="780"/>
      <c r="AD46" s="1408"/>
      <c r="AE46" s="1408"/>
      <c r="AF46" s="1382"/>
      <c r="AG46" s="1382">
        <f>5000*12+3000*12</f>
        <v>96000</v>
      </c>
      <c r="AH46" s="750">
        <f>3000*12</f>
        <v>36000</v>
      </c>
      <c r="AI46" s="750"/>
      <c r="AJ46" s="525" t="s">
        <v>168</v>
      </c>
      <c r="AK46" s="572"/>
      <c r="AL46" s="572"/>
      <c r="AM46" s="1434"/>
      <c r="AN46" s="1434"/>
      <c r="AO46" s="724"/>
      <c r="AP46" s="724"/>
      <c r="AQ46" s="724"/>
      <c r="AR46" s="724">
        <f>2000*12</f>
        <v>24000</v>
      </c>
      <c r="AS46" s="673"/>
      <c r="AT46" s="632">
        <f>SUM(AS46:AS46)</f>
        <v>0</v>
      </c>
      <c r="AU46" s="698"/>
      <c r="AV46" s="1020">
        <f t="shared" si="8"/>
        <v>504000</v>
      </c>
      <c r="AW46" s="654"/>
      <c r="AX46" s="655"/>
      <c r="AY46" s="1014"/>
    </row>
    <row r="47" spans="1:51" ht="16.5" thickBot="1">
      <c r="A47" s="528" t="s">
        <v>36</v>
      </c>
      <c r="B47" s="551">
        <f t="shared" ref="B47:U47" si="35">B45+B46</f>
        <v>0</v>
      </c>
      <c r="C47" s="551">
        <f t="shared" si="35"/>
        <v>0</v>
      </c>
      <c r="D47" s="551">
        <f t="shared" si="35"/>
        <v>0</v>
      </c>
      <c r="E47" s="551">
        <f t="shared" si="35"/>
        <v>1148000</v>
      </c>
      <c r="F47" s="529">
        <f t="shared" si="35"/>
        <v>1148000</v>
      </c>
      <c r="G47" s="533">
        <f t="shared" si="35"/>
        <v>0</v>
      </c>
      <c r="H47" s="881">
        <f t="shared" si="35"/>
        <v>48000</v>
      </c>
      <c r="I47" s="907">
        <f t="shared" si="35"/>
        <v>48000</v>
      </c>
      <c r="J47" s="855">
        <f t="shared" si="35"/>
        <v>0</v>
      </c>
      <c r="K47" s="804">
        <f t="shared" si="35"/>
        <v>0</v>
      </c>
      <c r="L47" s="933">
        <f t="shared" si="35"/>
        <v>0</v>
      </c>
      <c r="M47" s="551">
        <f t="shared" si="35"/>
        <v>0</v>
      </c>
      <c r="N47" s="551">
        <f t="shared" si="35"/>
        <v>0</v>
      </c>
      <c r="O47" s="551">
        <f t="shared" si="35"/>
        <v>0</v>
      </c>
      <c r="P47" s="551">
        <f t="shared" si="35"/>
        <v>0</v>
      </c>
      <c r="Q47" s="551">
        <f t="shared" si="35"/>
        <v>0</v>
      </c>
      <c r="R47" s="551">
        <f t="shared" si="35"/>
        <v>0</v>
      </c>
      <c r="S47" s="551">
        <f t="shared" si="35"/>
        <v>0</v>
      </c>
      <c r="T47" s="551">
        <f t="shared" si="35"/>
        <v>0</v>
      </c>
      <c r="U47" s="529">
        <f t="shared" si="35"/>
        <v>0</v>
      </c>
      <c r="V47" s="528" t="s">
        <v>36</v>
      </c>
      <c r="W47" s="533">
        <f>W45+W46</f>
        <v>0</v>
      </c>
      <c r="X47" s="1462">
        <f t="shared" ref="X47:AI47" si="36">X45+X46</f>
        <v>0</v>
      </c>
      <c r="Y47" s="959">
        <f t="shared" si="36"/>
        <v>0</v>
      </c>
      <c r="Z47" s="985">
        <f t="shared" si="36"/>
        <v>36000</v>
      </c>
      <c r="AA47" s="1354">
        <f t="shared" si="36"/>
        <v>0</v>
      </c>
      <c r="AB47" s="778">
        <f t="shared" si="36"/>
        <v>108000</v>
      </c>
      <c r="AC47" s="778">
        <f t="shared" si="36"/>
        <v>0</v>
      </c>
      <c r="AD47" s="1406">
        <f t="shared" si="36"/>
        <v>0</v>
      </c>
      <c r="AE47" s="1406">
        <f t="shared" si="36"/>
        <v>0</v>
      </c>
      <c r="AF47" s="1380">
        <f t="shared" si="36"/>
        <v>0</v>
      </c>
      <c r="AG47" s="1380">
        <f t="shared" si="36"/>
        <v>208000</v>
      </c>
      <c r="AH47" s="748">
        <f t="shared" si="36"/>
        <v>120000</v>
      </c>
      <c r="AI47" s="748">
        <f t="shared" si="36"/>
        <v>0</v>
      </c>
      <c r="AJ47" s="528" t="s">
        <v>36</v>
      </c>
      <c r="AK47" s="533">
        <f t="shared" ref="AK47:AU47" si="37">AK45+AK46</f>
        <v>0</v>
      </c>
      <c r="AL47" s="533">
        <f t="shared" si="37"/>
        <v>0</v>
      </c>
      <c r="AM47" s="1432">
        <f t="shared" si="37"/>
        <v>0</v>
      </c>
      <c r="AN47" s="1432">
        <f t="shared" si="37"/>
        <v>0</v>
      </c>
      <c r="AO47" s="722">
        <f t="shared" si="37"/>
        <v>0</v>
      </c>
      <c r="AP47" s="722">
        <f t="shared" si="37"/>
        <v>0</v>
      </c>
      <c r="AQ47" s="722">
        <f t="shared" si="37"/>
        <v>0</v>
      </c>
      <c r="AR47" s="722">
        <f t="shared" si="37"/>
        <v>36000</v>
      </c>
      <c r="AS47" s="672">
        <f t="shared" si="37"/>
        <v>0</v>
      </c>
      <c r="AT47" s="574">
        <f t="shared" si="37"/>
        <v>0</v>
      </c>
      <c r="AU47" s="696">
        <f t="shared" si="37"/>
        <v>0</v>
      </c>
      <c r="AV47" s="25">
        <f t="shared" si="8"/>
        <v>1752000</v>
      </c>
      <c r="AW47" s="654"/>
    </row>
    <row r="48" spans="1:51" ht="76.5" customHeight="1">
      <c r="A48" s="1733" t="s">
        <v>673</v>
      </c>
      <c r="B48" s="1724" t="s">
        <v>158</v>
      </c>
      <c r="C48" s="1725"/>
      <c r="D48" s="1725"/>
      <c r="E48" s="1725"/>
      <c r="F48" s="1726"/>
      <c r="G48" s="1703" t="s">
        <v>618</v>
      </c>
      <c r="H48" s="1734" t="s">
        <v>726</v>
      </c>
      <c r="I48" s="1736" t="s">
        <v>727</v>
      </c>
      <c r="J48" s="1738" t="s">
        <v>637</v>
      </c>
      <c r="K48" s="1744" t="s">
        <v>616</v>
      </c>
      <c r="L48" s="1746" t="s">
        <v>617</v>
      </c>
      <c r="M48" s="1724" t="s">
        <v>656</v>
      </c>
      <c r="N48" s="1725"/>
      <c r="O48" s="1725"/>
      <c r="P48" s="1725"/>
      <c r="Q48" s="1725"/>
      <c r="R48" s="1725"/>
      <c r="S48" s="1725"/>
      <c r="T48" s="1725"/>
      <c r="U48" s="1726"/>
      <c r="V48" s="1733" t="s">
        <v>673</v>
      </c>
      <c r="W48" s="1703" t="s">
        <v>707</v>
      </c>
      <c r="X48" s="1740" t="s">
        <v>754</v>
      </c>
      <c r="Y48" s="1742" t="s">
        <v>619</v>
      </c>
      <c r="Z48" s="1705" t="s">
        <v>721</v>
      </c>
      <c r="AA48" s="1707" t="s">
        <v>723</v>
      </c>
      <c r="AB48" s="1729" t="s">
        <v>719</v>
      </c>
      <c r="AC48" s="1729" t="s">
        <v>622</v>
      </c>
      <c r="AD48" s="1731" t="s">
        <v>620</v>
      </c>
      <c r="AE48" s="1731" t="s">
        <v>621</v>
      </c>
      <c r="AF48" s="1709" t="s">
        <v>711</v>
      </c>
      <c r="AG48" s="1709" t="s">
        <v>712</v>
      </c>
      <c r="AH48" s="1722" t="s">
        <v>708</v>
      </c>
      <c r="AI48" s="1722" t="s">
        <v>615</v>
      </c>
      <c r="AJ48" s="1733" t="s">
        <v>673</v>
      </c>
      <c r="AK48" s="1703" t="s">
        <v>623</v>
      </c>
      <c r="AL48" s="1703" t="s">
        <v>728</v>
      </c>
      <c r="AM48" s="1701" t="s">
        <v>729</v>
      </c>
      <c r="AN48" s="1701" t="s">
        <v>730</v>
      </c>
      <c r="AO48" s="1720" t="s">
        <v>624</v>
      </c>
      <c r="AP48" s="1720" t="s">
        <v>639</v>
      </c>
      <c r="AQ48" s="1720" t="s">
        <v>720</v>
      </c>
      <c r="AR48" s="1720" t="s">
        <v>625</v>
      </c>
      <c r="AS48" s="1749" t="s">
        <v>614</v>
      </c>
      <c r="AT48" s="1750"/>
      <c r="AU48" s="1727" t="s">
        <v>626</v>
      </c>
      <c r="AV48" s="1748" t="s">
        <v>12</v>
      </c>
    </row>
    <row r="49" spans="1:49" ht="60.75" thickBot="1">
      <c r="A49" s="1715"/>
      <c r="B49" s="613" t="s">
        <v>716</v>
      </c>
      <c r="C49" s="613" t="s">
        <v>718</v>
      </c>
      <c r="D49" s="613" t="s">
        <v>724</v>
      </c>
      <c r="E49" s="613" t="s">
        <v>177</v>
      </c>
      <c r="F49" s="614" t="s">
        <v>12</v>
      </c>
      <c r="G49" s="1704"/>
      <c r="H49" s="1735"/>
      <c r="I49" s="1737"/>
      <c r="J49" s="1739"/>
      <c r="K49" s="1745"/>
      <c r="L49" s="1747"/>
      <c r="M49" s="613" t="s">
        <v>709</v>
      </c>
      <c r="N49" s="613" t="s">
        <v>713</v>
      </c>
      <c r="O49" s="613" t="s">
        <v>714</v>
      </c>
      <c r="P49" s="613" t="s">
        <v>715</v>
      </c>
      <c r="Q49" s="613" t="s">
        <v>717</v>
      </c>
      <c r="R49" s="613" t="s">
        <v>722</v>
      </c>
      <c r="S49" s="613" t="s">
        <v>725</v>
      </c>
      <c r="T49" s="613" t="s">
        <v>177</v>
      </c>
      <c r="U49" s="614" t="s">
        <v>12</v>
      </c>
      <c r="V49" s="1715"/>
      <c r="W49" s="1704"/>
      <c r="X49" s="1741"/>
      <c r="Y49" s="1743"/>
      <c r="Z49" s="1706"/>
      <c r="AA49" s="1708"/>
      <c r="AB49" s="1730"/>
      <c r="AC49" s="1730"/>
      <c r="AD49" s="1732"/>
      <c r="AE49" s="1732"/>
      <c r="AF49" s="1710"/>
      <c r="AG49" s="1710"/>
      <c r="AH49" s="1723"/>
      <c r="AI49" s="1723"/>
      <c r="AJ49" s="1715"/>
      <c r="AK49" s="1704"/>
      <c r="AL49" s="1704"/>
      <c r="AM49" s="1702"/>
      <c r="AN49" s="1702"/>
      <c r="AO49" s="1721"/>
      <c r="AP49" s="1721"/>
      <c r="AQ49" s="1721"/>
      <c r="AR49" s="1721"/>
      <c r="AS49" s="662" t="s">
        <v>608</v>
      </c>
      <c r="AT49" s="625" t="s">
        <v>12</v>
      </c>
      <c r="AU49" s="1728"/>
      <c r="AV49" s="1719"/>
      <c r="AW49" s="652"/>
    </row>
    <row r="50" spans="1:49" ht="15.75">
      <c r="A50" s="8" t="s">
        <v>37</v>
      </c>
      <c r="B50" s="547"/>
      <c r="C50" s="547"/>
      <c r="D50" s="547"/>
      <c r="E50" s="547">
        <f>10000*12</f>
        <v>120000</v>
      </c>
      <c r="F50" s="565">
        <f>SUM(B50:E50)</f>
        <v>120000</v>
      </c>
      <c r="G50" s="566">
        <f>1000*12</f>
        <v>12000</v>
      </c>
      <c r="H50" s="874"/>
      <c r="I50" s="900">
        <f>20000*12</f>
        <v>240000</v>
      </c>
      <c r="J50" s="848"/>
      <c r="K50" s="797"/>
      <c r="L50" s="926"/>
      <c r="M50" s="547"/>
      <c r="N50" s="547"/>
      <c r="O50" s="547"/>
      <c r="P50" s="547"/>
      <c r="Q50" s="547"/>
      <c r="R50" s="547"/>
      <c r="S50" s="547"/>
      <c r="T50" s="547"/>
      <c r="U50" s="565">
        <f>SUM(M50:T50)</f>
        <v>0</v>
      </c>
      <c r="V50" s="8" t="s">
        <v>37</v>
      </c>
      <c r="W50" s="566"/>
      <c r="X50" s="1455"/>
      <c r="Y50" s="952">
        <f>140000*12</f>
        <v>1680000</v>
      </c>
      <c r="Z50" s="978"/>
      <c r="AA50" s="1347">
        <f>1000*12</f>
        <v>12000</v>
      </c>
      <c r="AB50" s="771">
        <f>4000*12</f>
        <v>48000</v>
      </c>
      <c r="AC50" s="771"/>
      <c r="AD50" s="1399"/>
      <c r="AE50" s="1399"/>
      <c r="AF50" s="1373"/>
      <c r="AG50" s="1373">
        <f>4000*12</f>
        <v>48000</v>
      </c>
      <c r="AH50" s="741">
        <f>30000*12</f>
        <v>360000</v>
      </c>
      <c r="AI50" s="741"/>
      <c r="AJ50" s="8" t="s">
        <v>37</v>
      </c>
      <c r="AK50" s="566"/>
      <c r="AL50" s="566"/>
      <c r="AM50" s="1425"/>
      <c r="AN50" s="1425"/>
      <c r="AO50" s="715"/>
      <c r="AP50" s="715"/>
      <c r="AQ50" s="715"/>
      <c r="AR50" s="715"/>
      <c r="AS50" s="663"/>
      <c r="AT50" s="626">
        <f>SUM(AS50:AS50)</f>
        <v>0</v>
      </c>
      <c r="AU50" s="689"/>
      <c r="AV50" s="25">
        <f t="shared" si="8"/>
        <v>2520000</v>
      </c>
      <c r="AW50" s="654"/>
    </row>
    <row r="51" spans="1:49" ht="15.75">
      <c r="A51" s="2" t="s">
        <v>38</v>
      </c>
      <c r="B51" s="544"/>
      <c r="C51" s="544"/>
      <c r="D51" s="544"/>
      <c r="E51" s="544">
        <f>20000*12</f>
        <v>240000</v>
      </c>
      <c r="F51" s="567">
        <f>SUM(B51:E51)</f>
        <v>240000</v>
      </c>
      <c r="G51" s="540"/>
      <c r="H51" s="875"/>
      <c r="I51" s="901">
        <f>30000*12</f>
        <v>360000</v>
      </c>
      <c r="J51" s="849"/>
      <c r="K51" s="798"/>
      <c r="L51" s="927"/>
      <c r="M51" s="544"/>
      <c r="N51" s="544"/>
      <c r="O51" s="544"/>
      <c r="P51" s="544"/>
      <c r="Q51" s="544"/>
      <c r="R51" s="544"/>
      <c r="S51" s="544"/>
      <c r="T51" s="544"/>
      <c r="U51" s="567">
        <f>SUM(M51:T51)</f>
        <v>0</v>
      </c>
      <c r="V51" s="2" t="s">
        <v>38</v>
      </c>
      <c r="W51" s="540"/>
      <c r="X51" s="1456"/>
      <c r="Y51" s="953"/>
      <c r="Z51" s="979"/>
      <c r="AA51" s="1348"/>
      <c r="AB51" s="772">
        <f>15000*12</f>
        <v>180000</v>
      </c>
      <c r="AC51" s="772"/>
      <c r="AD51" s="1400"/>
      <c r="AE51" s="1400"/>
      <c r="AF51" s="1374"/>
      <c r="AG51" s="1374">
        <f>15000*12</f>
        <v>180000</v>
      </c>
      <c r="AH51" s="742"/>
      <c r="AI51" s="742"/>
      <c r="AJ51" s="2" t="s">
        <v>38</v>
      </c>
      <c r="AK51" s="540"/>
      <c r="AL51" s="540"/>
      <c r="AM51" s="1426"/>
      <c r="AN51" s="1426"/>
      <c r="AO51" s="716"/>
      <c r="AP51" s="716"/>
      <c r="AQ51" s="716"/>
      <c r="AR51" s="716"/>
      <c r="AS51" s="665"/>
      <c r="AT51" s="627">
        <f>SUM(AS51:AS51)</f>
        <v>0</v>
      </c>
      <c r="AU51" s="690"/>
      <c r="AV51" s="1019">
        <f t="shared" si="8"/>
        <v>960000</v>
      </c>
      <c r="AW51" s="654"/>
    </row>
    <row r="52" spans="1:49" ht="30">
      <c r="A52" s="2" t="s">
        <v>39</v>
      </c>
      <c r="B52" s="544"/>
      <c r="C52" s="544"/>
      <c r="D52" s="544"/>
      <c r="E52" s="544"/>
      <c r="F52" s="567">
        <f>SUM(B52:E52)</f>
        <v>0</v>
      </c>
      <c r="G52" s="540"/>
      <c r="H52" s="875"/>
      <c r="I52" s="901"/>
      <c r="J52" s="849"/>
      <c r="K52" s="798"/>
      <c r="L52" s="927"/>
      <c r="M52" s="544"/>
      <c r="N52" s="544"/>
      <c r="O52" s="544"/>
      <c r="P52" s="544"/>
      <c r="Q52" s="544"/>
      <c r="R52" s="544"/>
      <c r="S52" s="544"/>
      <c r="T52" s="544"/>
      <c r="U52" s="567">
        <f>SUM(M52:T52)</f>
        <v>0</v>
      </c>
      <c r="V52" s="2" t="s">
        <v>39</v>
      </c>
      <c r="W52" s="540"/>
      <c r="X52" s="1456"/>
      <c r="Y52" s="953"/>
      <c r="Z52" s="979"/>
      <c r="AA52" s="1348"/>
      <c r="AB52" s="772"/>
      <c r="AC52" s="772"/>
      <c r="AD52" s="1400"/>
      <c r="AE52" s="1400"/>
      <c r="AF52" s="1374"/>
      <c r="AG52" s="1374"/>
      <c r="AH52" s="742"/>
      <c r="AI52" s="742"/>
      <c r="AJ52" s="2" t="s">
        <v>39</v>
      </c>
      <c r="AK52" s="540"/>
      <c r="AL52" s="540"/>
      <c r="AM52" s="1426"/>
      <c r="AN52" s="1426"/>
      <c r="AO52" s="716"/>
      <c r="AP52" s="716"/>
      <c r="AQ52" s="716"/>
      <c r="AR52" s="716"/>
      <c r="AS52" s="665"/>
      <c r="AT52" s="627">
        <f>SUM(AS52:AS52)</f>
        <v>0</v>
      </c>
      <c r="AU52" s="690"/>
      <c r="AV52" s="1019">
        <f t="shared" si="8"/>
        <v>0</v>
      </c>
      <c r="AW52" s="654"/>
    </row>
    <row r="53" spans="1:49" ht="15.75">
      <c r="A53" s="2" t="s">
        <v>40</v>
      </c>
      <c r="B53" s="544"/>
      <c r="C53" s="544"/>
      <c r="D53" s="544"/>
      <c r="E53" s="544">
        <f>2000*12</f>
        <v>24000</v>
      </c>
      <c r="F53" s="567">
        <f>SUM(B53:E53)</f>
        <v>24000</v>
      </c>
      <c r="G53" s="540">
        <f>2000*12+10000*12</f>
        <v>144000</v>
      </c>
      <c r="H53" s="875">
        <f>5000*12</f>
        <v>60000</v>
      </c>
      <c r="I53" s="901">
        <f>4000*12</f>
        <v>48000</v>
      </c>
      <c r="J53" s="849"/>
      <c r="K53" s="798"/>
      <c r="L53" s="927"/>
      <c r="M53" s="544"/>
      <c r="N53" s="544"/>
      <c r="O53" s="544"/>
      <c r="P53" s="544"/>
      <c r="Q53" s="544"/>
      <c r="R53" s="544"/>
      <c r="S53" s="544"/>
      <c r="T53" s="544"/>
      <c r="U53" s="567">
        <f>SUM(M53:T53)</f>
        <v>0</v>
      </c>
      <c r="V53" s="2" t="s">
        <v>40</v>
      </c>
      <c r="W53" s="540"/>
      <c r="X53" s="1456"/>
      <c r="Y53" s="953"/>
      <c r="Z53" s="979">
        <f>1000*12</f>
        <v>12000</v>
      </c>
      <c r="AA53" s="1348"/>
      <c r="AB53" s="772">
        <f>4000*12</f>
        <v>48000</v>
      </c>
      <c r="AC53" s="772"/>
      <c r="AD53" s="1400"/>
      <c r="AE53" s="1400"/>
      <c r="AF53" s="1374"/>
      <c r="AG53" s="1374">
        <f>3000*12</f>
        <v>36000</v>
      </c>
      <c r="AH53" s="742">
        <f>3000*12</f>
        <v>36000</v>
      </c>
      <c r="AI53" s="742"/>
      <c r="AJ53" s="2" t="s">
        <v>40</v>
      </c>
      <c r="AK53" s="540"/>
      <c r="AL53" s="540"/>
      <c r="AM53" s="1426"/>
      <c r="AN53" s="1426"/>
      <c r="AO53" s="716"/>
      <c r="AP53" s="716"/>
      <c r="AQ53" s="716"/>
      <c r="AR53" s="716"/>
      <c r="AS53" s="665"/>
      <c r="AT53" s="627">
        <f>SUM(AS53:AS53)</f>
        <v>0</v>
      </c>
      <c r="AU53" s="690"/>
      <c r="AV53" s="1019">
        <f t="shared" si="8"/>
        <v>408000</v>
      </c>
      <c r="AW53" s="654"/>
    </row>
    <row r="54" spans="1:49" ht="15.75">
      <c r="A54" s="10" t="s">
        <v>41</v>
      </c>
      <c r="B54" s="549">
        <f t="shared" ref="B54:L54" si="38">SUM(B50:B53)</f>
        <v>0</v>
      </c>
      <c r="C54" s="549">
        <f>SUM(C50:C53)</f>
        <v>0</v>
      </c>
      <c r="D54" s="549">
        <f>SUM(D50:D53)</f>
        <v>0</v>
      </c>
      <c r="E54" s="549">
        <f t="shared" si="38"/>
        <v>384000</v>
      </c>
      <c r="F54" s="26">
        <f t="shared" si="38"/>
        <v>384000</v>
      </c>
      <c r="G54" s="535">
        <f t="shared" si="38"/>
        <v>156000</v>
      </c>
      <c r="H54" s="879">
        <f t="shared" si="38"/>
        <v>60000</v>
      </c>
      <c r="I54" s="905">
        <f t="shared" si="38"/>
        <v>648000</v>
      </c>
      <c r="J54" s="853">
        <f t="shared" si="38"/>
        <v>0</v>
      </c>
      <c r="K54" s="802">
        <f t="shared" si="38"/>
        <v>0</v>
      </c>
      <c r="L54" s="931">
        <f t="shared" si="38"/>
        <v>0</v>
      </c>
      <c r="M54" s="549">
        <f t="shared" ref="M54:U54" si="39">SUM(M50:M53)</f>
        <v>0</v>
      </c>
      <c r="N54" s="549">
        <f t="shared" si="39"/>
        <v>0</v>
      </c>
      <c r="O54" s="549">
        <f t="shared" si="39"/>
        <v>0</v>
      </c>
      <c r="P54" s="549">
        <f t="shared" si="39"/>
        <v>0</v>
      </c>
      <c r="Q54" s="549">
        <f t="shared" si="39"/>
        <v>0</v>
      </c>
      <c r="R54" s="549">
        <f t="shared" si="39"/>
        <v>0</v>
      </c>
      <c r="S54" s="549">
        <f t="shared" si="39"/>
        <v>0</v>
      </c>
      <c r="T54" s="549">
        <f t="shared" si="39"/>
        <v>0</v>
      </c>
      <c r="U54" s="26">
        <f t="shared" si="39"/>
        <v>0</v>
      </c>
      <c r="V54" s="10" t="s">
        <v>41</v>
      </c>
      <c r="W54" s="535">
        <f>SUM(W50:W53)</f>
        <v>0</v>
      </c>
      <c r="X54" s="1460">
        <f t="shared" ref="X54:AU54" si="40">SUM(X50:X53)</f>
        <v>0</v>
      </c>
      <c r="Y54" s="957">
        <f t="shared" si="40"/>
        <v>1680000</v>
      </c>
      <c r="Z54" s="983">
        <f t="shared" si="40"/>
        <v>12000</v>
      </c>
      <c r="AA54" s="1352">
        <f t="shared" si="40"/>
        <v>12000</v>
      </c>
      <c r="AB54" s="776">
        <f t="shared" si="40"/>
        <v>276000</v>
      </c>
      <c r="AC54" s="776">
        <f t="shared" si="40"/>
        <v>0</v>
      </c>
      <c r="AD54" s="1404">
        <f t="shared" si="40"/>
        <v>0</v>
      </c>
      <c r="AE54" s="1404">
        <f t="shared" si="40"/>
        <v>0</v>
      </c>
      <c r="AF54" s="1378">
        <f>SUM(AF50:AF53)</f>
        <v>0</v>
      </c>
      <c r="AG54" s="1378">
        <f>SUM(AG50:AG53)</f>
        <v>264000</v>
      </c>
      <c r="AH54" s="746">
        <f>SUM(AH50:AH53)</f>
        <v>396000</v>
      </c>
      <c r="AI54" s="746">
        <f>SUM(AI50:AI53)</f>
        <v>0</v>
      </c>
      <c r="AJ54" s="10" t="s">
        <v>41</v>
      </c>
      <c r="AK54" s="535">
        <f>SUM(AK50:AK53)</f>
        <v>0</v>
      </c>
      <c r="AL54" s="535">
        <f>SUM(AL50:AL53)</f>
        <v>0</v>
      </c>
      <c r="AM54" s="1430">
        <f>SUM(AM50:AM53)</f>
        <v>0</v>
      </c>
      <c r="AN54" s="1430">
        <f>SUM(AN50:AN53)</f>
        <v>0</v>
      </c>
      <c r="AO54" s="720">
        <f t="shared" si="40"/>
        <v>0</v>
      </c>
      <c r="AP54" s="720">
        <f t="shared" si="40"/>
        <v>0</v>
      </c>
      <c r="AQ54" s="720">
        <f>SUM(AQ50:AQ53)</f>
        <v>0</v>
      </c>
      <c r="AR54" s="720">
        <f t="shared" si="40"/>
        <v>0</v>
      </c>
      <c r="AS54" s="670">
        <f t="shared" si="40"/>
        <v>0</v>
      </c>
      <c r="AT54" s="27">
        <f t="shared" si="40"/>
        <v>0</v>
      </c>
      <c r="AU54" s="694">
        <f t="shared" si="40"/>
        <v>0</v>
      </c>
      <c r="AV54" s="1019">
        <f t="shared" si="8"/>
        <v>3888000</v>
      </c>
      <c r="AW54" s="654"/>
    </row>
    <row r="55" spans="1:49" ht="15.75">
      <c r="A55" s="10" t="s">
        <v>42</v>
      </c>
      <c r="B55" s="549"/>
      <c r="C55" s="549"/>
      <c r="D55" s="549"/>
      <c r="E55" s="549"/>
      <c r="F55" s="567">
        <f>SUM(B55:E55)</f>
        <v>0</v>
      </c>
      <c r="G55" s="538"/>
      <c r="H55" s="884"/>
      <c r="I55" s="910"/>
      <c r="J55" s="858"/>
      <c r="K55" s="807"/>
      <c r="L55" s="936"/>
      <c r="M55" s="549"/>
      <c r="N55" s="549"/>
      <c r="O55" s="549"/>
      <c r="P55" s="549"/>
      <c r="Q55" s="549"/>
      <c r="R55" s="549"/>
      <c r="S55" s="549"/>
      <c r="T55" s="549"/>
      <c r="U55" s="567">
        <f>SUM(M55:T55)</f>
        <v>0</v>
      </c>
      <c r="V55" s="10" t="s">
        <v>42</v>
      </c>
      <c r="W55" s="538"/>
      <c r="X55" s="1465"/>
      <c r="Y55" s="962"/>
      <c r="Z55" s="988"/>
      <c r="AA55" s="1357"/>
      <c r="AB55" s="781"/>
      <c r="AC55" s="781"/>
      <c r="AD55" s="1409"/>
      <c r="AE55" s="1409"/>
      <c r="AF55" s="1383"/>
      <c r="AG55" s="1383"/>
      <c r="AH55" s="751"/>
      <c r="AI55" s="751"/>
      <c r="AJ55" s="10" t="s">
        <v>42</v>
      </c>
      <c r="AK55" s="538"/>
      <c r="AL55" s="538"/>
      <c r="AM55" s="1435"/>
      <c r="AN55" s="1435"/>
      <c r="AO55" s="725"/>
      <c r="AP55" s="725"/>
      <c r="AQ55" s="725"/>
      <c r="AR55" s="725"/>
      <c r="AS55" s="665"/>
      <c r="AT55" s="627">
        <f t="shared" ref="AT55:AT61" si="41">SUM(AS55:AS55)</f>
        <v>0</v>
      </c>
      <c r="AU55" s="699"/>
      <c r="AV55" s="1019">
        <f t="shared" si="8"/>
        <v>0</v>
      </c>
      <c r="AW55" s="654"/>
    </row>
    <row r="56" spans="1:49" ht="15.75">
      <c r="A56" s="10" t="s">
        <v>43</v>
      </c>
      <c r="B56" s="549"/>
      <c r="C56" s="549"/>
      <c r="D56" s="549"/>
      <c r="E56" s="549"/>
      <c r="F56" s="567">
        <f>SUM(B56:E56)</f>
        <v>0</v>
      </c>
      <c r="G56" s="538"/>
      <c r="H56" s="884"/>
      <c r="I56" s="910"/>
      <c r="J56" s="858"/>
      <c r="K56" s="807"/>
      <c r="L56" s="936"/>
      <c r="M56" s="549"/>
      <c r="N56" s="549"/>
      <c r="O56" s="549"/>
      <c r="P56" s="549"/>
      <c r="Q56" s="549"/>
      <c r="R56" s="549"/>
      <c r="S56" s="549"/>
      <c r="T56" s="549"/>
      <c r="U56" s="567">
        <f>SUM(M56:T56)</f>
        <v>0</v>
      </c>
      <c r="V56" s="10" t="s">
        <v>43</v>
      </c>
      <c r="W56" s="538"/>
      <c r="X56" s="1465"/>
      <c r="Y56" s="962">
        <f>150000*12</f>
        <v>1800000</v>
      </c>
      <c r="Z56" s="988">
        <v>50000</v>
      </c>
      <c r="AA56" s="1357"/>
      <c r="AB56" s="781"/>
      <c r="AC56" s="781"/>
      <c r="AD56" s="1409"/>
      <c r="AE56" s="1409"/>
      <c r="AF56" s="1383"/>
      <c r="AG56" s="1383"/>
      <c r="AH56" s="751"/>
      <c r="AI56" s="751">
        <v>100000</v>
      </c>
      <c r="AJ56" s="10" t="s">
        <v>43</v>
      </c>
      <c r="AK56" s="538"/>
      <c r="AL56" s="538"/>
      <c r="AM56" s="1435"/>
      <c r="AN56" s="1435">
        <v>100000</v>
      </c>
      <c r="AO56" s="725"/>
      <c r="AP56" s="725"/>
      <c r="AQ56" s="725"/>
      <c r="AR56" s="725"/>
      <c r="AS56" s="665"/>
      <c r="AT56" s="627">
        <f t="shared" si="41"/>
        <v>0</v>
      </c>
      <c r="AU56" s="699"/>
      <c r="AV56" s="1019">
        <f t="shared" si="8"/>
        <v>2050000</v>
      </c>
      <c r="AW56" s="654"/>
    </row>
    <row r="57" spans="1:49" ht="15.75">
      <c r="A57" s="619" t="s">
        <v>610</v>
      </c>
      <c r="B57" s="549"/>
      <c r="C57" s="549"/>
      <c r="D57" s="549"/>
      <c r="E57" s="549">
        <v>110000</v>
      </c>
      <c r="F57" s="567">
        <f>SUM(B57:E57)</f>
        <v>110000</v>
      </c>
      <c r="G57" s="538"/>
      <c r="H57" s="884"/>
      <c r="I57" s="910">
        <v>950000</v>
      </c>
      <c r="J57" s="858"/>
      <c r="K57" s="807"/>
      <c r="L57" s="936"/>
      <c r="M57" s="549"/>
      <c r="N57" s="549"/>
      <c r="O57" s="549"/>
      <c r="P57" s="549"/>
      <c r="Q57" s="549"/>
      <c r="R57" s="549"/>
      <c r="S57" s="549"/>
      <c r="T57" s="549"/>
      <c r="U57" s="567">
        <f>SUM(M57:T57)</f>
        <v>0</v>
      </c>
      <c r="V57" s="619" t="s">
        <v>610</v>
      </c>
      <c r="W57" s="538"/>
      <c r="X57" s="1465"/>
      <c r="Y57" s="962">
        <f>30000*12</f>
        <v>360000</v>
      </c>
      <c r="Z57" s="988">
        <v>100000</v>
      </c>
      <c r="AA57" s="1357">
        <v>300000</v>
      </c>
      <c r="AB57" s="781">
        <v>50000</v>
      </c>
      <c r="AC57" s="781"/>
      <c r="AD57" s="1409"/>
      <c r="AE57" s="1409"/>
      <c r="AF57" s="1383"/>
      <c r="AG57" s="1383">
        <v>50000</v>
      </c>
      <c r="AH57" s="751">
        <v>800000</v>
      </c>
      <c r="AI57" s="751"/>
      <c r="AJ57" s="619" t="s">
        <v>610</v>
      </c>
      <c r="AK57" s="538"/>
      <c r="AL57" s="538"/>
      <c r="AM57" s="1435"/>
      <c r="AN57" s="1435"/>
      <c r="AO57" s="725"/>
      <c r="AP57" s="725"/>
      <c r="AQ57" s="725">
        <v>50000</v>
      </c>
      <c r="AR57" s="725"/>
      <c r="AS57" s="665"/>
      <c r="AT57" s="627">
        <f t="shared" si="41"/>
        <v>0</v>
      </c>
      <c r="AU57" s="699"/>
      <c r="AV57" s="1019">
        <f t="shared" si="8"/>
        <v>2770000</v>
      </c>
      <c r="AW57" s="654"/>
    </row>
    <row r="58" spans="1:49" ht="30">
      <c r="A58" s="2" t="s">
        <v>745</v>
      </c>
      <c r="B58" s="544"/>
      <c r="C58" s="544"/>
      <c r="D58" s="544"/>
      <c r="E58" s="544"/>
      <c r="F58" s="567">
        <f>SUM(B58:E58)</f>
        <v>0</v>
      </c>
      <c r="G58" s="540"/>
      <c r="H58" s="875"/>
      <c r="I58" s="901">
        <f>1000*12+5000*12</f>
        <v>72000</v>
      </c>
      <c r="J58" s="849"/>
      <c r="K58" s="798"/>
      <c r="L58" s="927"/>
      <c r="M58" s="544"/>
      <c r="N58" s="544"/>
      <c r="O58" s="544"/>
      <c r="P58" s="544"/>
      <c r="Q58" s="544"/>
      <c r="R58" s="544"/>
      <c r="S58" s="544"/>
      <c r="T58" s="544"/>
      <c r="U58" s="567">
        <f>SUM(M58:T58)</f>
        <v>0</v>
      </c>
      <c r="V58" s="2" t="s">
        <v>44</v>
      </c>
      <c r="W58" s="540"/>
      <c r="X58" s="1456"/>
      <c r="Y58" s="953"/>
      <c r="Z58" s="979"/>
      <c r="AA58" s="1348"/>
      <c r="AB58" s="772"/>
      <c r="AC58" s="772"/>
      <c r="AD58" s="1400"/>
      <c r="AE58" s="1400"/>
      <c r="AF58" s="1374"/>
      <c r="AG58" s="1374"/>
      <c r="AH58" s="742"/>
      <c r="AI58" s="742"/>
      <c r="AJ58" s="2" t="s">
        <v>44</v>
      </c>
      <c r="AK58" s="540"/>
      <c r="AL58" s="540"/>
      <c r="AM58" s="1426"/>
      <c r="AN58" s="1426"/>
      <c r="AO58" s="716"/>
      <c r="AP58" s="716"/>
      <c r="AQ58" s="716"/>
      <c r="AR58" s="716"/>
      <c r="AS58" s="665"/>
      <c r="AT58" s="627">
        <f t="shared" si="41"/>
        <v>0</v>
      </c>
      <c r="AU58" s="690"/>
      <c r="AV58" s="1019">
        <f t="shared" si="8"/>
        <v>72000</v>
      </c>
      <c r="AW58" s="654"/>
    </row>
    <row r="59" spans="1:49" ht="30">
      <c r="A59" s="2" t="s">
        <v>45</v>
      </c>
      <c r="B59" s="544"/>
      <c r="C59" s="544"/>
      <c r="D59" s="544"/>
      <c r="E59" s="544">
        <f>4000*12</f>
        <v>48000</v>
      </c>
      <c r="F59" s="567">
        <f>SUM(B59:E59)</f>
        <v>48000</v>
      </c>
      <c r="G59" s="540"/>
      <c r="H59" s="875"/>
      <c r="I59" s="901">
        <f>3000*12</f>
        <v>36000</v>
      </c>
      <c r="J59" s="849"/>
      <c r="K59" s="798"/>
      <c r="L59" s="927"/>
      <c r="M59" s="544"/>
      <c r="N59" s="544"/>
      <c r="O59" s="544"/>
      <c r="P59" s="544"/>
      <c r="Q59" s="544"/>
      <c r="R59" s="544"/>
      <c r="S59" s="544"/>
      <c r="T59" s="544"/>
      <c r="U59" s="567">
        <f>SUM(M59:T59)</f>
        <v>0</v>
      </c>
      <c r="V59" s="2" t="s">
        <v>45</v>
      </c>
      <c r="W59" s="540"/>
      <c r="X59" s="1456"/>
      <c r="Y59" s="953"/>
      <c r="Z59" s="979">
        <f>1000*12</f>
        <v>12000</v>
      </c>
      <c r="AA59" s="1348"/>
      <c r="AB59" s="772">
        <f>3000*12</f>
        <v>36000</v>
      </c>
      <c r="AC59" s="772"/>
      <c r="AD59" s="1400"/>
      <c r="AE59" s="1400"/>
      <c r="AF59" s="1374"/>
      <c r="AG59" s="1374">
        <f>1000*12</f>
        <v>12000</v>
      </c>
      <c r="AH59" s="742"/>
      <c r="AI59" s="742"/>
      <c r="AJ59" s="2" t="s">
        <v>45</v>
      </c>
      <c r="AK59" s="540"/>
      <c r="AL59" s="540"/>
      <c r="AM59" s="1426"/>
      <c r="AN59" s="1426"/>
      <c r="AO59" s="716"/>
      <c r="AP59" s="716"/>
      <c r="AQ59" s="716">
        <f>1000*12</f>
        <v>12000</v>
      </c>
      <c r="AR59" s="716"/>
      <c r="AS59" s="665"/>
      <c r="AT59" s="627">
        <f t="shared" si="41"/>
        <v>0</v>
      </c>
      <c r="AU59" s="690"/>
      <c r="AV59" s="1019">
        <f t="shared" si="8"/>
        <v>156000</v>
      </c>
      <c r="AW59" s="654"/>
    </row>
    <row r="60" spans="1:49" ht="15.75">
      <c r="A60" s="10" t="s">
        <v>46</v>
      </c>
      <c r="B60" s="549">
        <f>SUM(B58:B59)</f>
        <v>0</v>
      </c>
      <c r="C60" s="549">
        <f>SUM(C58:C59)</f>
        <v>0</v>
      </c>
      <c r="D60" s="549">
        <f>SUM(D58:D59)</f>
        <v>0</v>
      </c>
      <c r="E60" s="549">
        <f t="shared" ref="E60:L60" si="42">E58+E59</f>
        <v>48000</v>
      </c>
      <c r="F60" s="26">
        <f t="shared" si="42"/>
        <v>48000</v>
      </c>
      <c r="G60" s="535">
        <f t="shared" si="42"/>
        <v>0</v>
      </c>
      <c r="H60" s="879">
        <f t="shared" si="42"/>
        <v>0</v>
      </c>
      <c r="I60" s="905">
        <f>I58+I59</f>
        <v>108000</v>
      </c>
      <c r="J60" s="853">
        <f>J58+J59</f>
        <v>0</v>
      </c>
      <c r="K60" s="802">
        <f t="shared" si="42"/>
        <v>0</v>
      </c>
      <c r="L60" s="931">
        <f t="shared" si="42"/>
        <v>0</v>
      </c>
      <c r="M60" s="549">
        <f>SUM(M58:M59)</f>
        <v>0</v>
      </c>
      <c r="N60" s="549">
        <f t="shared" ref="N60:U60" si="43">N58+N59</f>
        <v>0</v>
      </c>
      <c r="O60" s="549">
        <f t="shared" si="43"/>
        <v>0</v>
      </c>
      <c r="P60" s="549">
        <f t="shared" si="43"/>
        <v>0</v>
      </c>
      <c r="Q60" s="549">
        <f t="shared" si="43"/>
        <v>0</v>
      </c>
      <c r="R60" s="549">
        <f t="shared" si="43"/>
        <v>0</v>
      </c>
      <c r="S60" s="549">
        <f t="shared" si="43"/>
        <v>0</v>
      </c>
      <c r="T60" s="549">
        <f t="shared" si="43"/>
        <v>0</v>
      </c>
      <c r="U60" s="26">
        <f t="shared" si="43"/>
        <v>0</v>
      </c>
      <c r="V60" s="10" t="s">
        <v>46</v>
      </c>
      <c r="W60" s="535">
        <f>W58+W59</f>
        <v>0</v>
      </c>
      <c r="X60" s="1460">
        <f t="shared" ref="X60:AR60" si="44">X58+X59</f>
        <v>0</v>
      </c>
      <c r="Y60" s="957">
        <f t="shared" si="44"/>
        <v>0</v>
      </c>
      <c r="Z60" s="983">
        <f t="shared" si="44"/>
        <v>12000</v>
      </c>
      <c r="AA60" s="1352">
        <f t="shared" si="44"/>
        <v>0</v>
      </c>
      <c r="AB60" s="776">
        <f t="shared" si="44"/>
        <v>36000</v>
      </c>
      <c r="AC60" s="776">
        <f t="shared" si="44"/>
        <v>0</v>
      </c>
      <c r="AD60" s="1404">
        <f t="shared" si="44"/>
        <v>0</v>
      </c>
      <c r="AE60" s="1404">
        <f t="shared" si="44"/>
        <v>0</v>
      </c>
      <c r="AF60" s="1378">
        <f>AF58+AF59</f>
        <v>0</v>
      </c>
      <c r="AG60" s="1378">
        <f>AG58+AG59</f>
        <v>12000</v>
      </c>
      <c r="AH60" s="746">
        <f>AH58+AH59</f>
        <v>0</v>
      </c>
      <c r="AI60" s="746">
        <f>AI58+AI59</f>
        <v>0</v>
      </c>
      <c r="AJ60" s="10" t="s">
        <v>46</v>
      </c>
      <c r="AK60" s="535">
        <f>AK58+AK59</f>
        <v>0</v>
      </c>
      <c r="AL60" s="535">
        <f>AL58+AL59</f>
        <v>0</v>
      </c>
      <c r="AM60" s="1430">
        <f>AM58+AM59</f>
        <v>0</v>
      </c>
      <c r="AN60" s="1430">
        <f>AN58+AN59</f>
        <v>0</v>
      </c>
      <c r="AO60" s="720">
        <f t="shared" si="44"/>
        <v>0</v>
      </c>
      <c r="AP60" s="720">
        <f t="shared" si="44"/>
        <v>0</v>
      </c>
      <c r="AQ60" s="720">
        <f>AQ58+AQ59</f>
        <v>12000</v>
      </c>
      <c r="AR60" s="720">
        <f t="shared" si="44"/>
        <v>0</v>
      </c>
      <c r="AS60" s="670">
        <f>AS59</f>
        <v>0</v>
      </c>
      <c r="AT60" s="627">
        <f t="shared" si="41"/>
        <v>0</v>
      </c>
      <c r="AU60" s="694">
        <f>AU58+AU59</f>
        <v>0</v>
      </c>
      <c r="AV60" s="1019">
        <f t="shared" si="8"/>
        <v>228000</v>
      </c>
      <c r="AW60" s="654"/>
    </row>
    <row r="61" spans="1:49" ht="45">
      <c r="A61" s="2" t="s">
        <v>631</v>
      </c>
      <c r="B61" s="544"/>
      <c r="C61" s="544"/>
      <c r="D61" s="544"/>
      <c r="E61" s="544"/>
      <c r="F61" s="567">
        <f>SUM(B61:E61)</f>
        <v>0</v>
      </c>
      <c r="G61" s="540"/>
      <c r="H61" s="875"/>
      <c r="I61" s="901"/>
      <c r="J61" s="849"/>
      <c r="K61" s="798"/>
      <c r="L61" s="927"/>
      <c r="M61" s="544"/>
      <c r="N61" s="544"/>
      <c r="O61" s="544"/>
      <c r="P61" s="544"/>
      <c r="Q61" s="544"/>
      <c r="R61" s="544"/>
      <c r="S61" s="544"/>
      <c r="T61" s="544"/>
      <c r="U61" s="567">
        <f>SUM(M61:T61)</f>
        <v>0</v>
      </c>
      <c r="V61" s="2" t="s">
        <v>631</v>
      </c>
      <c r="W61" s="540"/>
      <c r="X61" s="1456"/>
      <c r="Y61" s="953"/>
      <c r="Z61" s="979"/>
      <c r="AA61" s="1348"/>
      <c r="AB61" s="772">
        <f>400000+(600000*3)+600000*8</f>
        <v>7000000</v>
      </c>
      <c r="AC61" s="772"/>
      <c r="AD61" s="1400"/>
      <c r="AE61" s="1400"/>
      <c r="AF61" s="1374"/>
      <c r="AG61" s="1374"/>
      <c r="AH61" s="742"/>
      <c r="AI61" s="742"/>
      <c r="AJ61" s="2" t="s">
        <v>631</v>
      </c>
      <c r="AK61" s="540"/>
      <c r="AL61" s="540"/>
      <c r="AM61" s="1426"/>
      <c r="AN61" s="1426"/>
      <c r="AO61" s="716"/>
      <c r="AP61" s="716"/>
      <c r="AQ61" s="716"/>
      <c r="AR61" s="716"/>
      <c r="AS61" s="665"/>
      <c r="AT61" s="627">
        <f t="shared" si="41"/>
        <v>0</v>
      </c>
      <c r="AU61" s="690"/>
      <c r="AV61" s="1019">
        <f t="shared" si="8"/>
        <v>7000000</v>
      </c>
      <c r="AW61" s="654"/>
    </row>
    <row r="62" spans="1:49" ht="90">
      <c r="A62" s="2" t="s">
        <v>750</v>
      </c>
      <c r="B62" s="544"/>
      <c r="C62" s="544"/>
      <c r="D62" s="544"/>
      <c r="E62" s="544">
        <f>100000+198000*4+150000*8+250000+120000+2000000</f>
        <v>4462000</v>
      </c>
      <c r="F62" s="567">
        <f>SUM(B62:E62)</f>
        <v>4462000</v>
      </c>
      <c r="G62" s="540"/>
      <c r="H62" s="875"/>
      <c r="I62" s="901">
        <f>40000*4</f>
        <v>160000</v>
      </c>
      <c r="J62" s="849"/>
      <c r="K62" s="798"/>
      <c r="L62" s="927"/>
      <c r="M62" s="544"/>
      <c r="N62" s="544"/>
      <c r="O62" s="544"/>
      <c r="P62" s="544"/>
      <c r="Q62" s="544"/>
      <c r="R62" s="544"/>
      <c r="S62" s="544"/>
      <c r="T62" s="544"/>
      <c r="U62" s="567">
        <f>SUM(M62:T62)</f>
        <v>0</v>
      </c>
      <c r="V62" s="2" t="s">
        <v>640</v>
      </c>
      <c r="W62" s="540">
        <f>505000+500000</f>
        <v>1005000</v>
      </c>
      <c r="X62" s="1456"/>
      <c r="Y62" s="953"/>
      <c r="Z62" s="979"/>
      <c r="AA62" s="1348"/>
      <c r="AB62" s="772"/>
      <c r="AC62" s="772"/>
      <c r="AD62" s="1400"/>
      <c r="AE62" s="1400"/>
      <c r="AF62" s="1374"/>
      <c r="AG62" s="1374"/>
      <c r="AH62" s="742"/>
      <c r="AI62" s="742"/>
      <c r="AJ62" s="2" t="s">
        <v>640</v>
      </c>
      <c r="AK62" s="540"/>
      <c r="AL62" s="540"/>
      <c r="AM62" s="1426"/>
      <c r="AN62" s="1426"/>
      <c r="AO62" s="716"/>
      <c r="AP62" s="716"/>
      <c r="AQ62" s="716"/>
      <c r="AR62" s="716"/>
      <c r="AS62" s="665"/>
      <c r="AT62" s="627"/>
      <c r="AU62" s="690"/>
      <c r="AV62" s="1019">
        <f t="shared" si="8"/>
        <v>5627000</v>
      </c>
      <c r="AW62" s="654"/>
    </row>
    <row r="63" spans="1:49" ht="30">
      <c r="A63" s="10" t="s">
        <v>47</v>
      </c>
      <c r="B63" s="549">
        <f t="shared" ref="B63:L63" si="45">SUM(B61:B62)</f>
        <v>0</v>
      </c>
      <c r="C63" s="549">
        <f>SUM(C61:C62)</f>
        <v>0</v>
      </c>
      <c r="D63" s="549">
        <f>SUM(D61:D62)</f>
        <v>0</v>
      </c>
      <c r="E63" s="549">
        <f t="shared" si="45"/>
        <v>4462000</v>
      </c>
      <c r="F63" s="26">
        <f t="shared" si="45"/>
        <v>4462000</v>
      </c>
      <c r="G63" s="535">
        <f t="shared" si="45"/>
        <v>0</v>
      </c>
      <c r="H63" s="879">
        <f t="shared" si="45"/>
        <v>0</v>
      </c>
      <c r="I63" s="905">
        <f t="shared" si="45"/>
        <v>160000</v>
      </c>
      <c r="J63" s="853">
        <f t="shared" si="45"/>
        <v>0</v>
      </c>
      <c r="K63" s="802">
        <f t="shared" si="45"/>
        <v>0</v>
      </c>
      <c r="L63" s="931">
        <f t="shared" si="45"/>
        <v>0</v>
      </c>
      <c r="M63" s="549">
        <f t="shared" ref="M63:U63" si="46">SUM(M61:M62)</f>
        <v>0</v>
      </c>
      <c r="N63" s="549">
        <f t="shared" si="46"/>
        <v>0</v>
      </c>
      <c r="O63" s="549">
        <f t="shared" si="46"/>
        <v>0</v>
      </c>
      <c r="P63" s="549">
        <f t="shared" si="46"/>
        <v>0</v>
      </c>
      <c r="Q63" s="549">
        <f t="shared" si="46"/>
        <v>0</v>
      </c>
      <c r="R63" s="549">
        <f t="shared" si="46"/>
        <v>0</v>
      </c>
      <c r="S63" s="549">
        <f t="shared" si="46"/>
        <v>0</v>
      </c>
      <c r="T63" s="549">
        <f t="shared" si="46"/>
        <v>0</v>
      </c>
      <c r="U63" s="26">
        <f t="shared" si="46"/>
        <v>0</v>
      </c>
      <c r="V63" s="10" t="s">
        <v>47</v>
      </c>
      <c r="W63" s="535">
        <f>SUM(W61:W62)</f>
        <v>1005000</v>
      </c>
      <c r="X63" s="1460">
        <f t="shared" ref="X63:AU63" si="47">SUM(X61:X62)</f>
        <v>0</v>
      </c>
      <c r="Y63" s="957">
        <f t="shared" si="47"/>
        <v>0</v>
      </c>
      <c r="Z63" s="983">
        <f t="shared" si="47"/>
        <v>0</v>
      </c>
      <c r="AA63" s="1352">
        <f t="shared" si="47"/>
        <v>0</v>
      </c>
      <c r="AB63" s="776">
        <f t="shared" si="47"/>
        <v>7000000</v>
      </c>
      <c r="AC63" s="776">
        <f t="shared" si="47"/>
        <v>0</v>
      </c>
      <c r="AD63" s="1404">
        <f t="shared" si="47"/>
        <v>0</v>
      </c>
      <c r="AE63" s="1404">
        <f t="shared" si="47"/>
        <v>0</v>
      </c>
      <c r="AF63" s="1378">
        <f>SUM(AF61:AF62)</f>
        <v>0</v>
      </c>
      <c r="AG63" s="1378">
        <f>SUM(AG61:AG62)</f>
        <v>0</v>
      </c>
      <c r="AH63" s="746">
        <f>SUM(AH61:AH62)</f>
        <v>0</v>
      </c>
      <c r="AI63" s="746">
        <f>SUM(AI61:AI62)</f>
        <v>0</v>
      </c>
      <c r="AJ63" s="10" t="s">
        <v>47</v>
      </c>
      <c r="AK63" s="535">
        <f>SUM(AK61:AK62)</f>
        <v>0</v>
      </c>
      <c r="AL63" s="535">
        <f>SUM(AL61:AL62)</f>
        <v>0</v>
      </c>
      <c r="AM63" s="1430">
        <f>SUM(AM61:AM62)</f>
        <v>0</v>
      </c>
      <c r="AN63" s="1430">
        <f>SUM(AN61:AN62)</f>
        <v>0</v>
      </c>
      <c r="AO63" s="720">
        <f t="shared" si="47"/>
        <v>0</v>
      </c>
      <c r="AP63" s="720">
        <f t="shared" si="47"/>
        <v>0</v>
      </c>
      <c r="AQ63" s="720">
        <f>SUM(AQ61:AQ62)</f>
        <v>0</v>
      </c>
      <c r="AR63" s="720">
        <f t="shared" si="47"/>
        <v>0</v>
      </c>
      <c r="AS63" s="670">
        <f t="shared" si="47"/>
        <v>0</v>
      </c>
      <c r="AT63" s="27">
        <f t="shared" si="47"/>
        <v>0</v>
      </c>
      <c r="AU63" s="694">
        <f t="shared" si="47"/>
        <v>0</v>
      </c>
      <c r="AV63" s="1019">
        <f t="shared" si="8"/>
        <v>12627000</v>
      </c>
      <c r="AW63" s="654"/>
    </row>
    <row r="64" spans="1:49" ht="105.75" thickBot="1">
      <c r="A64" s="525" t="s">
        <v>747</v>
      </c>
      <c r="B64" s="550"/>
      <c r="C64" s="550"/>
      <c r="D64" s="550"/>
      <c r="E64" s="550">
        <f>3000*12+2000*12+50000*12+120000+50000*12+500000+6000*4+16000</f>
        <v>1920000</v>
      </c>
      <c r="F64" s="569">
        <f>SUM(B64:E64)</f>
        <v>1920000</v>
      </c>
      <c r="G64" s="572">
        <f>20000*12</f>
        <v>240000</v>
      </c>
      <c r="H64" s="883"/>
      <c r="I64" s="909">
        <f>30000*4+150000+54000*4+100000*4</f>
        <v>886000</v>
      </c>
      <c r="J64" s="857"/>
      <c r="K64" s="806"/>
      <c r="L64" s="935"/>
      <c r="M64" s="550"/>
      <c r="N64" s="550"/>
      <c r="O64" s="550"/>
      <c r="P64" s="550"/>
      <c r="Q64" s="550"/>
      <c r="R64" s="550"/>
      <c r="S64" s="550"/>
      <c r="T64" s="550"/>
      <c r="U64" s="569">
        <f>SUM(M64:T64)</f>
        <v>0</v>
      </c>
      <c r="V64" s="525" t="s">
        <v>632</v>
      </c>
      <c r="W64" s="572">
        <v>500000</v>
      </c>
      <c r="X64" s="1464"/>
      <c r="Y64" s="961"/>
      <c r="Z64" s="987">
        <v>200000</v>
      </c>
      <c r="AA64" s="1356">
        <f>8000*12+200000+200000+8000*12+6000*12</f>
        <v>664000</v>
      </c>
      <c r="AB64" s="780">
        <f>21000</f>
        <v>21000</v>
      </c>
      <c r="AC64" s="780"/>
      <c r="AD64" s="1408"/>
      <c r="AE64" s="1408"/>
      <c r="AF64" s="1382"/>
      <c r="AG64" s="1382">
        <f>12000*4</f>
        <v>48000</v>
      </c>
      <c r="AH64" s="750">
        <f>12000*4</f>
        <v>48000</v>
      </c>
      <c r="AI64" s="750">
        <f>1500000+480315</f>
        <v>1980315</v>
      </c>
      <c r="AJ64" s="525" t="s">
        <v>632</v>
      </c>
      <c r="AK64" s="572"/>
      <c r="AL64" s="572"/>
      <c r="AM64" s="1434"/>
      <c r="AN64" s="1434">
        <v>750000</v>
      </c>
      <c r="AO64" s="724"/>
      <c r="AP64" s="724"/>
      <c r="AQ64" s="724">
        <f>3500*12+32000+35000+43000</f>
        <v>152000</v>
      </c>
      <c r="AR64" s="724"/>
      <c r="AS64" s="666"/>
      <c r="AT64" s="632">
        <f>SUM(AS64:AS64)</f>
        <v>0</v>
      </c>
      <c r="AU64" s="698"/>
      <c r="AV64" s="1020">
        <f t="shared" si="8"/>
        <v>7409315</v>
      </c>
      <c r="AW64" s="654"/>
    </row>
    <row r="65" spans="1:51" s="1008" customFormat="1" ht="15.75" thickBot="1">
      <c r="A65" s="528" t="s">
        <v>48</v>
      </c>
      <c r="B65" s="551">
        <f t="shared" ref="B65:L65" si="48">B54+B55+B56+B57+B60+B63+B64</f>
        <v>0</v>
      </c>
      <c r="C65" s="551">
        <f>C54+C55+C56+C57+C60+C63+C64</f>
        <v>0</v>
      </c>
      <c r="D65" s="551">
        <f>D54+D55+D56+D57+D60+D63+D64</f>
        <v>0</v>
      </c>
      <c r="E65" s="551">
        <f t="shared" si="48"/>
        <v>6924000</v>
      </c>
      <c r="F65" s="529">
        <f t="shared" si="48"/>
        <v>6924000</v>
      </c>
      <c r="G65" s="533">
        <f t="shared" si="48"/>
        <v>396000</v>
      </c>
      <c r="H65" s="881">
        <f t="shared" si="48"/>
        <v>60000</v>
      </c>
      <c r="I65" s="907">
        <f t="shared" si="48"/>
        <v>2752000</v>
      </c>
      <c r="J65" s="855">
        <f t="shared" si="48"/>
        <v>0</v>
      </c>
      <c r="K65" s="804">
        <f t="shared" si="48"/>
        <v>0</v>
      </c>
      <c r="L65" s="933">
        <f t="shared" si="48"/>
        <v>0</v>
      </c>
      <c r="M65" s="551">
        <f t="shared" ref="M65:U65" si="49">M54+M55+M56+M57+M60+M63+M64</f>
        <v>0</v>
      </c>
      <c r="N65" s="551">
        <f t="shared" si="49"/>
        <v>0</v>
      </c>
      <c r="O65" s="551">
        <f t="shared" si="49"/>
        <v>0</v>
      </c>
      <c r="P65" s="551">
        <f t="shared" si="49"/>
        <v>0</v>
      </c>
      <c r="Q65" s="551">
        <f t="shared" si="49"/>
        <v>0</v>
      </c>
      <c r="R65" s="551">
        <f t="shared" si="49"/>
        <v>0</v>
      </c>
      <c r="S65" s="551">
        <f t="shared" si="49"/>
        <v>0</v>
      </c>
      <c r="T65" s="551">
        <f t="shared" si="49"/>
        <v>0</v>
      </c>
      <c r="U65" s="529">
        <f t="shared" si="49"/>
        <v>0</v>
      </c>
      <c r="V65" s="528" t="s">
        <v>48</v>
      </c>
      <c r="W65" s="533">
        <f>W54+W55+W56+W57+W60+W63+W64</f>
        <v>1505000</v>
      </c>
      <c r="X65" s="1462">
        <f t="shared" ref="X65:AU65" si="50">X54+X55+X56+X57+X60+X63+X64</f>
        <v>0</v>
      </c>
      <c r="Y65" s="959">
        <f t="shared" si="50"/>
        <v>3840000</v>
      </c>
      <c r="Z65" s="985">
        <f t="shared" si="50"/>
        <v>374000</v>
      </c>
      <c r="AA65" s="1354">
        <f t="shared" si="50"/>
        <v>976000</v>
      </c>
      <c r="AB65" s="778">
        <f t="shared" si="50"/>
        <v>7383000</v>
      </c>
      <c r="AC65" s="778">
        <f t="shared" si="50"/>
        <v>0</v>
      </c>
      <c r="AD65" s="1406">
        <f t="shared" si="50"/>
        <v>0</v>
      </c>
      <c r="AE65" s="1406">
        <f t="shared" si="50"/>
        <v>0</v>
      </c>
      <c r="AF65" s="1380">
        <f>AF54+AF55+AF56+AF57+AF60+AF63+AF64</f>
        <v>0</v>
      </c>
      <c r="AG65" s="1380">
        <f>AG54+AG55+AG56+AG57+AG60+AG63+AG64</f>
        <v>374000</v>
      </c>
      <c r="AH65" s="748">
        <f>AH54+AH55+AH56+AH57+AH60+AH63+AH64</f>
        <v>1244000</v>
      </c>
      <c r="AI65" s="748">
        <f>AI54+AI55+AI56+AI57+AI60+AI63+AI64</f>
        <v>2080315</v>
      </c>
      <c r="AJ65" s="528" t="s">
        <v>48</v>
      </c>
      <c r="AK65" s="533">
        <f>AK54+AK55+AK56+AK57+AK60+AK63+AK64</f>
        <v>0</v>
      </c>
      <c r="AL65" s="533">
        <f>AL54+AL55+AL56+AL57+AL60+AL63+AL64</f>
        <v>0</v>
      </c>
      <c r="AM65" s="1432">
        <f>AM54+AM55+AM56+AM57+AM60+AM63+AM64</f>
        <v>0</v>
      </c>
      <c r="AN65" s="1432">
        <f>AN54+AN55+AN56+AN57+AN60+AN63+AN64</f>
        <v>850000</v>
      </c>
      <c r="AO65" s="722">
        <f t="shared" si="50"/>
        <v>0</v>
      </c>
      <c r="AP65" s="722">
        <f t="shared" si="50"/>
        <v>0</v>
      </c>
      <c r="AQ65" s="722">
        <f>AQ54+AQ55+AQ56+AQ57+AQ60+AQ63+AQ64</f>
        <v>214000</v>
      </c>
      <c r="AR65" s="722">
        <f t="shared" si="50"/>
        <v>0</v>
      </c>
      <c r="AS65" s="672">
        <f t="shared" si="50"/>
        <v>0</v>
      </c>
      <c r="AT65" s="574">
        <f t="shared" si="50"/>
        <v>0</v>
      </c>
      <c r="AU65" s="696">
        <f t="shared" si="50"/>
        <v>0</v>
      </c>
      <c r="AV65" s="25">
        <f t="shared" si="8"/>
        <v>28972315</v>
      </c>
      <c r="AW65" s="656"/>
      <c r="AX65" s="1007"/>
      <c r="AY65" s="1009"/>
    </row>
    <row r="66" spans="1:51" ht="30">
      <c r="A66" s="527" t="s">
        <v>169</v>
      </c>
      <c r="B66" s="543"/>
      <c r="C66" s="543"/>
      <c r="D66" s="543"/>
      <c r="E66" s="543">
        <v>50000</v>
      </c>
      <c r="F66" s="568">
        <f>SUM(B66:E66)</f>
        <v>50000</v>
      </c>
      <c r="G66" s="571"/>
      <c r="H66" s="882"/>
      <c r="I66" s="908"/>
      <c r="J66" s="856"/>
      <c r="K66" s="805"/>
      <c r="L66" s="934"/>
      <c r="M66" s="543"/>
      <c r="N66" s="543"/>
      <c r="O66" s="543"/>
      <c r="P66" s="543"/>
      <c r="Q66" s="543"/>
      <c r="R66" s="543"/>
      <c r="S66" s="543"/>
      <c r="T66" s="543"/>
      <c r="U66" s="568">
        <f>SUM(M66:T66)</f>
        <v>0</v>
      </c>
      <c r="V66" s="527" t="s">
        <v>169</v>
      </c>
      <c r="W66" s="571"/>
      <c r="X66" s="1463"/>
      <c r="Y66" s="960"/>
      <c r="Z66" s="986"/>
      <c r="AA66" s="1355"/>
      <c r="AB66" s="779"/>
      <c r="AC66" s="779"/>
      <c r="AD66" s="1407"/>
      <c r="AE66" s="1407"/>
      <c r="AF66" s="1381"/>
      <c r="AG66" s="1381">
        <f>15000*12</f>
        <v>180000</v>
      </c>
      <c r="AH66" s="749"/>
      <c r="AI66" s="749"/>
      <c r="AJ66" s="527" t="s">
        <v>169</v>
      </c>
      <c r="AK66" s="571"/>
      <c r="AL66" s="571"/>
      <c r="AM66" s="1433"/>
      <c r="AN66" s="1433"/>
      <c r="AO66" s="723"/>
      <c r="AP66" s="723"/>
      <c r="AQ66" s="723"/>
      <c r="AR66" s="723"/>
      <c r="AS66" s="664"/>
      <c r="AT66" s="631">
        <f>SUM(AS66:AS66)</f>
        <v>0</v>
      </c>
      <c r="AU66" s="697"/>
      <c r="AV66" s="25">
        <f t="shared" si="8"/>
        <v>230000</v>
      </c>
      <c r="AW66" s="654"/>
    </row>
    <row r="67" spans="1:51" ht="15.75">
      <c r="A67" s="2" t="s">
        <v>49</v>
      </c>
      <c r="B67" s="544"/>
      <c r="C67" s="544"/>
      <c r="D67" s="544"/>
      <c r="E67" s="544">
        <v>50000</v>
      </c>
      <c r="F67" s="567">
        <f>SUM(B67:E67)</f>
        <v>50000</v>
      </c>
      <c r="G67" s="540"/>
      <c r="H67" s="875"/>
      <c r="I67" s="901"/>
      <c r="J67" s="849"/>
      <c r="K67" s="798"/>
      <c r="L67" s="927"/>
      <c r="M67" s="544"/>
      <c r="N67" s="544"/>
      <c r="O67" s="544"/>
      <c r="P67" s="544"/>
      <c r="Q67" s="544"/>
      <c r="R67" s="544"/>
      <c r="S67" s="544"/>
      <c r="T67" s="544"/>
      <c r="U67" s="567">
        <f>SUM(M67:T67)</f>
        <v>0</v>
      </c>
      <c r="V67" s="2" t="s">
        <v>49</v>
      </c>
      <c r="W67" s="540"/>
      <c r="X67" s="1456"/>
      <c r="Y67" s="953"/>
      <c r="Z67" s="979"/>
      <c r="AA67" s="1348"/>
      <c r="AB67" s="772"/>
      <c r="AC67" s="772"/>
      <c r="AD67" s="1400"/>
      <c r="AE67" s="1400"/>
      <c r="AF67" s="1374"/>
      <c r="AG67" s="1374"/>
      <c r="AH67" s="742"/>
      <c r="AI67" s="742"/>
      <c r="AJ67" s="2" t="s">
        <v>49</v>
      </c>
      <c r="AK67" s="540"/>
      <c r="AL67" s="540"/>
      <c r="AM67" s="1426"/>
      <c r="AN67" s="1426"/>
      <c r="AO67" s="716"/>
      <c r="AP67" s="716"/>
      <c r="AQ67" s="716"/>
      <c r="AR67" s="716"/>
      <c r="AS67" s="665"/>
      <c r="AT67" s="627">
        <f>SUM(AS67:AS67)</f>
        <v>0</v>
      </c>
      <c r="AU67" s="690"/>
      <c r="AV67" s="1019">
        <f t="shared" si="8"/>
        <v>50000</v>
      </c>
      <c r="AW67" s="654"/>
    </row>
    <row r="68" spans="1:51" ht="15.75">
      <c r="A68" s="10" t="s">
        <v>50</v>
      </c>
      <c r="B68" s="549">
        <f t="shared" ref="B68:L68" si="51">SUM(B66:B67)</f>
        <v>0</v>
      </c>
      <c r="C68" s="549">
        <f>SUM(C66:C67)</f>
        <v>0</v>
      </c>
      <c r="D68" s="549">
        <f>SUM(D66:D67)</f>
        <v>0</v>
      </c>
      <c r="E68" s="549">
        <f t="shared" si="51"/>
        <v>100000</v>
      </c>
      <c r="F68" s="26">
        <f t="shared" si="51"/>
        <v>100000</v>
      </c>
      <c r="G68" s="535">
        <f t="shared" si="51"/>
        <v>0</v>
      </c>
      <c r="H68" s="879">
        <f t="shared" si="51"/>
        <v>0</v>
      </c>
      <c r="I68" s="905">
        <f t="shared" si="51"/>
        <v>0</v>
      </c>
      <c r="J68" s="853">
        <f t="shared" si="51"/>
        <v>0</v>
      </c>
      <c r="K68" s="802">
        <f t="shared" si="51"/>
        <v>0</v>
      </c>
      <c r="L68" s="931">
        <f t="shared" si="51"/>
        <v>0</v>
      </c>
      <c r="M68" s="549">
        <f t="shared" ref="M68:U68" si="52">SUM(M66:M67)</f>
        <v>0</v>
      </c>
      <c r="N68" s="549">
        <f t="shared" si="52"/>
        <v>0</v>
      </c>
      <c r="O68" s="549">
        <f t="shared" si="52"/>
        <v>0</v>
      </c>
      <c r="P68" s="549">
        <f t="shared" si="52"/>
        <v>0</v>
      </c>
      <c r="Q68" s="549">
        <f t="shared" si="52"/>
        <v>0</v>
      </c>
      <c r="R68" s="549">
        <f t="shared" si="52"/>
        <v>0</v>
      </c>
      <c r="S68" s="549">
        <f t="shared" si="52"/>
        <v>0</v>
      </c>
      <c r="T68" s="549">
        <f t="shared" si="52"/>
        <v>0</v>
      </c>
      <c r="U68" s="26">
        <f t="shared" si="52"/>
        <v>0</v>
      </c>
      <c r="V68" s="10" t="s">
        <v>50</v>
      </c>
      <c r="W68" s="535">
        <f>SUM(W66:W67)</f>
        <v>0</v>
      </c>
      <c r="X68" s="1460">
        <f t="shared" ref="X68:AU68" si="53">SUM(X66:X67)</f>
        <v>0</v>
      </c>
      <c r="Y68" s="957">
        <f t="shared" si="53"/>
        <v>0</v>
      </c>
      <c r="Z68" s="983">
        <f t="shared" si="53"/>
        <v>0</v>
      </c>
      <c r="AA68" s="1352">
        <f t="shared" si="53"/>
        <v>0</v>
      </c>
      <c r="AB68" s="776">
        <f t="shared" si="53"/>
        <v>0</v>
      </c>
      <c r="AC68" s="776">
        <f t="shared" si="53"/>
        <v>0</v>
      </c>
      <c r="AD68" s="1404">
        <f t="shared" si="53"/>
        <v>0</v>
      </c>
      <c r="AE68" s="1404">
        <f t="shared" si="53"/>
        <v>0</v>
      </c>
      <c r="AF68" s="1378">
        <f>SUM(AF66:AF67)</f>
        <v>0</v>
      </c>
      <c r="AG68" s="1378">
        <f>SUM(AG66:AG67)</f>
        <v>180000</v>
      </c>
      <c r="AH68" s="746">
        <f>SUM(AH66:AH67)</f>
        <v>0</v>
      </c>
      <c r="AI68" s="746">
        <f>SUM(AI66:AI67)</f>
        <v>0</v>
      </c>
      <c r="AJ68" s="10" t="s">
        <v>50</v>
      </c>
      <c r="AK68" s="535">
        <f>SUM(AK66:AK67)</f>
        <v>0</v>
      </c>
      <c r="AL68" s="535">
        <f>SUM(AL66:AL67)</f>
        <v>0</v>
      </c>
      <c r="AM68" s="1430">
        <f>SUM(AM66:AM67)</f>
        <v>0</v>
      </c>
      <c r="AN68" s="1430">
        <f>SUM(AN66:AN67)</f>
        <v>0</v>
      </c>
      <c r="AO68" s="720">
        <f t="shared" si="53"/>
        <v>0</v>
      </c>
      <c r="AP68" s="720">
        <f t="shared" si="53"/>
        <v>0</v>
      </c>
      <c r="AQ68" s="720">
        <f>SUM(AQ66:AQ67)</f>
        <v>0</v>
      </c>
      <c r="AR68" s="720">
        <f t="shared" si="53"/>
        <v>0</v>
      </c>
      <c r="AS68" s="670">
        <f t="shared" si="53"/>
        <v>0</v>
      </c>
      <c r="AT68" s="27">
        <f t="shared" si="53"/>
        <v>0</v>
      </c>
      <c r="AU68" s="694">
        <f t="shared" si="53"/>
        <v>0</v>
      </c>
      <c r="AV68" s="1019">
        <f t="shared" si="8"/>
        <v>280000</v>
      </c>
      <c r="AW68" s="654"/>
    </row>
    <row r="69" spans="1:51" ht="16.5" thickBot="1">
      <c r="A69" s="525" t="s">
        <v>51</v>
      </c>
      <c r="B69" s="550"/>
      <c r="C69" s="550"/>
      <c r="D69" s="550"/>
      <c r="E69" s="550">
        <v>50000</v>
      </c>
      <c r="F69" s="569">
        <f>SUM(B69:E69)</f>
        <v>50000</v>
      </c>
      <c r="G69" s="572"/>
      <c r="H69" s="883"/>
      <c r="I69" s="909"/>
      <c r="J69" s="857"/>
      <c r="K69" s="806"/>
      <c r="L69" s="935"/>
      <c r="M69" s="550"/>
      <c r="N69" s="550"/>
      <c r="O69" s="550"/>
      <c r="P69" s="550"/>
      <c r="Q69" s="550"/>
      <c r="R69" s="550"/>
      <c r="S69" s="550"/>
      <c r="T69" s="550"/>
      <c r="U69" s="569">
        <f>SUM(M69:T69)</f>
        <v>0</v>
      </c>
      <c r="V69" s="525" t="s">
        <v>51</v>
      </c>
      <c r="W69" s="572"/>
      <c r="X69" s="1464"/>
      <c r="Y69" s="961"/>
      <c r="Z69" s="987"/>
      <c r="AA69" s="1356"/>
      <c r="AB69" s="780"/>
      <c r="AC69" s="780"/>
      <c r="AD69" s="1408"/>
      <c r="AE69" s="1408"/>
      <c r="AF69" s="1382"/>
      <c r="AG69" s="1382"/>
      <c r="AH69" s="750"/>
      <c r="AI69" s="750"/>
      <c r="AJ69" s="525" t="s">
        <v>51</v>
      </c>
      <c r="AK69" s="572"/>
      <c r="AL69" s="572"/>
      <c r="AM69" s="1434"/>
      <c r="AN69" s="1434"/>
      <c r="AO69" s="724"/>
      <c r="AP69" s="724"/>
      <c r="AQ69" s="724"/>
      <c r="AR69" s="724"/>
      <c r="AS69" s="666"/>
      <c r="AT69" s="27">
        <f>SUM(AS69:AS69)</f>
        <v>0</v>
      </c>
      <c r="AU69" s="698"/>
      <c r="AV69" s="1020">
        <f t="shared" si="8"/>
        <v>50000</v>
      </c>
      <c r="AW69" s="654"/>
    </row>
    <row r="70" spans="1:51" ht="30.75" thickBot="1">
      <c r="A70" s="528" t="s">
        <v>52</v>
      </c>
      <c r="B70" s="551">
        <f t="shared" ref="B70:L70" si="54">B68+B69</f>
        <v>0</v>
      </c>
      <c r="C70" s="551">
        <f>C68+C69</f>
        <v>0</v>
      </c>
      <c r="D70" s="551">
        <f>D68+D69</f>
        <v>0</v>
      </c>
      <c r="E70" s="551">
        <f t="shared" si="54"/>
        <v>150000</v>
      </c>
      <c r="F70" s="529">
        <f t="shared" si="54"/>
        <v>150000</v>
      </c>
      <c r="G70" s="533">
        <f t="shared" si="54"/>
        <v>0</v>
      </c>
      <c r="H70" s="881">
        <f t="shared" si="54"/>
        <v>0</v>
      </c>
      <c r="I70" s="907">
        <f t="shared" si="54"/>
        <v>0</v>
      </c>
      <c r="J70" s="855">
        <f t="shared" si="54"/>
        <v>0</v>
      </c>
      <c r="K70" s="804">
        <f t="shared" si="54"/>
        <v>0</v>
      </c>
      <c r="L70" s="933">
        <f t="shared" si="54"/>
        <v>0</v>
      </c>
      <c r="M70" s="551">
        <f t="shared" ref="M70:U70" si="55">M68+M69</f>
        <v>0</v>
      </c>
      <c r="N70" s="551">
        <f t="shared" si="55"/>
        <v>0</v>
      </c>
      <c r="O70" s="551">
        <f t="shared" si="55"/>
        <v>0</v>
      </c>
      <c r="P70" s="551">
        <f t="shared" si="55"/>
        <v>0</v>
      </c>
      <c r="Q70" s="551">
        <f t="shared" si="55"/>
        <v>0</v>
      </c>
      <c r="R70" s="551">
        <f t="shared" si="55"/>
        <v>0</v>
      </c>
      <c r="S70" s="551">
        <f t="shared" si="55"/>
        <v>0</v>
      </c>
      <c r="T70" s="551">
        <f t="shared" si="55"/>
        <v>0</v>
      </c>
      <c r="U70" s="529">
        <f t="shared" si="55"/>
        <v>0</v>
      </c>
      <c r="V70" s="528" t="s">
        <v>52</v>
      </c>
      <c r="W70" s="533">
        <f>W68+W69</f>
        <v>0</v>
      </c>
      <c r="X70" s="1462">
        <f t="shared" ref="X70:AU70" si="56">X68+X69</f>
        <v>0</v>
      </c>
      <c r="Y70" s="959">
        <f t="shared" si="56"/>
        <v>0</v>
      </c>
      <c r="Z70" s="985">
        <f t="shared" si="56"/>
        <v>0</v>
      </c>
      <c r="AA70" s="1354">
        <f t="shared" si="56"/>
        <v>0</v>
      </c>
      <c r="AB70" s="778">
        <f t="shared" si="56"/>
        <v>0</v>
      </c>
      <c r="AC70" s="778">
        <f t="shared" si="56"/>
        <v>0</v>
      </c>
      <c r="AD70" s="1406">
        <f t="shared" si="56"/>
        <v>0</v>
      </c>
      <c r="AE70" s="1406">
        <f t="shared" si="56"/>
        <v>0</v>
      </c>
      <c r="AF70" s="1380">
        <f>AF68+AF69</f>
        <v>0</v>
      </c>
      <c r="AG70" s="1380">
        <f>AG68+AG69</f>
        <v>180000</v>
      </c>
      <c r="AH70" s="748">
        <f>AH68+AH69</f>
        <v>0</v>
      </c>
      <c r="AI70" s="748">
        <f>AI68+AI69</f>
        <v>0</v>
      </c>
      <c r="AJ70" s="528" t="s">
        <v>52</v>
      </c>
      <c r="AK70" s="533">
        <f>AK68+AK69</f>
        <v>0</v>
      </c>
      <c r="AL70" s="533">
        <f>AL68+AL69</f>
        <v>0</v>
      </c>
      <c r="AM70" s="1432">
        <f>AM68+AM69</f>
        <v>0</v>
      </c>
      <c r="AN70" s="1432">
        <f>AN68+AN69</f>
        <v>0</v>
      </c>
      <c r="AO70" s="722">
        <f t="shared" si="56"/>
        <v>0</v>
      </c>
      <c r="AP70" s="722">
        <f t="shared" si="56"/>
        <v>0</v>
      </c>
      <c r="AQ70" s="722">
        <f>AQ68+AQ69</f>
        <v>0</v>
      </c>
      <c r="AR70" s="722">
        <f t="shared" si="56"/>
        <v>0</v>
      </c>
      <c r="AS70" s="672">
        <f t="shared" si="56"/>
        <v>0</v>
      </c>
      <c r="AT70" s="574">
        <f t="shared" si="56"/>
        <v>0</v>
      </c>
      <c r="AU70" s="696">
        <f t="shared" si="56"/>
        <v>0</v>
      </c>
      <c r="AV70" s="25">
        <f t="shared" si="8"/>
        <v>330000</v>
      </c>
      <c r="AW70" s="654"/>
    </row>
    <row r="71" spans="1:51" ht="15.75">
      <c r="A71" s="14" t="s">
        <v>170</v>
      </c>
      <c r="B71" s="573">
        <f>(B40+B47+B65)*27%</f>
        <v>0</v>
      </c>
      <c r="C71" s="573">
        <f>(C40+C47+C65)*27%</f>
        <v>0</v>
      </c>
      <c r="D71" s="573">
        <f>(D40+D47+D65)*27%</f>
        <v>0</v>
      </c>
      <c r="E71" s="573">
        <f>(E40+E47+E65)*27%</f>
        <v>2419740</v>
      </c>
      <c r="F71" s="575">
        <f>SUM(B71,E71)</f>
        <v>2419740</v>
      </c>
      <c r="G71" s="576">
        <f t="shared" ref="G71:T71" si="57">(G40+G47+G65)*27%</f>
        <v>106920</v>
      </c>
      <c r="H71" s="885">
        <f t="shared" si="57"/>
        <v>29160.000000000004</v>
      </c>
      <c r="I71" s="911">
        <f t="shared" si="57"/>
        <v>837000</v>
      </c>
      <c r="J71" s="859">
        <f t="shared" si="57"/>
        <v>0</v>
      </c>
      <c r="K71" s="808">
        <f t="shared" si="57"/>
        <v>0</v>
      </c>
      <c r="L71" s="937">
        <f t="shared" si="57"/>
        <v>0</v>
      </c>
      <c r="M71" s="573">
        <f t="shared" si="57"/>
        <v>0</v>
      </c>
      <c r="N71" s="573">
        <f t="shared" si="57"/>
        <v>0</v>
      </c>
      <c r="O71" s="573">
        <f t="shared" si="57"/>
        <v>0</v>
      </c>
      <c r="P71" s="573">
        <f t="shared" si="57"/>
        <v>0</v>
      </c>
      <c r="Q71" s="573">
        <f t="shared" si="57"/>
        <v>0</v>
      </c>
      <c r="R71" s="573">
        <f t="shared" si="57"/>
        <v>0</v>
      </c>
      <c r="S71" s="573">
        <f t="shared" si="57"/>
        <v>0</v>
      </c>
      <c r="T71" s="573">
        <f t="shared" si="57"/>
        <v>0</v>
      </c>
      <c r="U71" s="575">
        <f>SUM(M71,T71)</f>
        <v>0</v>
      </c>
      <c r="V71" s="14" t="s">
        <v>170</v>
      </c>
      <c r="W71" s="576">
        <f t="shared" ref="W71:AI71" si="58">(W40+W47+W65)*27%</f>
        <v>541350</v>
      </c>
      <c r="X71" s="1466">
        <f t="shared" si="58"/>
        <v>0</v>
      </c>
      <c r="Y71" s="963">
        <f t="shared" si="58"/>
        <v>1036800.0000000001</v>
      </c>
      <c r="Z71" s="989">
        <f t="shared" si="58"/>
        <v>191700</v>
      </c>
      <c r="AA71" s="1358">
        <f t="shared" si="58"/>
        <v>425520</v>
      </c>
      <c r="AB71" s="782">
        <f t="shared" si="58"/>
        <v>2036070.0000000002</v>
      </c>
      <c r="AC71" s="782">
        <f t="shared" si="58"/>
        <v>0</v>
      </c>
      <c r="AD71" s="1410">
        <f t="shared" si="58"/>
        <v>0</v>
      </c>
      <c r="AE71" s="1410">
        <f t="shared" si="58"/>
        <v>0</v>
      </c>
      <c r="AF71" s="1384">
        <f t="shared" si="58"/>
        <v>14850.000000000002</v>
      </c>
      <c r="AG71" s="1384">
        <f t="shared" si="58"/>
        <v>193590</v>
      </c>
      <c r="AH71" s="752">
        <f t="shared" si="58"/>
        <v>422280</v>
      </c>
      <c r="AI71" s="752">
        <f t="shared" si="58"/>
        <v>723685.05</v>
      </c>
      <c r="AJ71" s="14" t="s">
        <v>170</v>
      </c>
      <c r="AK71" s="576">
        <f t="shared" ref="AK71:AS71" si="59">(AK40+AK47+AK65)*27%</f>
        <v>0</v>
      </c>
      <c r="AL71" s="576">
        <f t="shared" si="59"/>
        <v>0</v>
      </c>
      <c r="AM71" s="1436">
        <f t="shared" si="59"/>
        <v>0</v>
      </c>
      <c r="AN71" s="1436">
        <f t="shared" si="59"/>
        <v>283500</v>
      </c>
      <c r="AO71" s="726">
        <f t="shared" si="59"/>
        <v>0</v>
      </c>
      <c r="AP71" s="726">
        <f t="shared" si="59"/>
        <v>0</v>
      </c>
      <c r="AQ71" s="726">
        <f t="shared" si="59"/>
        <v>111780.00000000001</v>
      </c>
      <c r="AR71" s="726">
        <f t="shared" si="59"/>
        <v>9720</v>
      </c>
      <c r="AS71" s="674">
        <f t="shared" si="59"/>
        <v>0</v>
      </c>
      <c r="AT71" s="631">
        <f>SUM(AS71:AS71)</f>
        <v>0</v>
      </c>
      <c r="AU71" s="700">
        <f>(AU40+AU47+AU65)*27%</f>
        <v>0</v>
      </c>
      <c r="AV71" s="25">
        <f t="shared" si="8"/>
        <v>9383665.0500000007</v>
      </c>
      <c r="AW71" s="654"/>
    </row>
    <row r="72" spans="1:51" ht="15.75">
      <c r="A72" s="10" t="s">
        <v>53</v>
      </c>
      <c r="B72" s="549"/>
      <c r="C72" s="549"/>
      <c r="D72" s="549"/>
      <c r="E72" s="621"/>
      <c r="F72" s="575">
        <f>SUM(B72,E72)</f>
        <v>0</v>
      </c>
      <c r="G72" s="538"/>
      <c r="H72" s="884"/>
      <c r="I72" s="910"/>
      <c r="J72" s="858"/>
      <c r="K72" s="807"/>
      <c r="L72" s="936"/>
      <c r="M72" s="549"/>
      <c r="N72" s="621"/>
      <c r="O72" s="621"/>
      <c r="P72" s="621"/>
      <c r="Q72" s="621"/>
      <c r="R72" s="621"/>
      <c r="S72" s="621"/>
      <c r="T72" s="621"/>
      <c r="U72" s="575">
        <f>SUM(M72,T72)</f>
        <v>0</v>
      </c>
      <c r="V72" s="10" t="s">
        <v>53</v>
      </c>
      <c r="W72" s="538"/>
      <c r="X72" s="1465"/>
      <c r="Y72" s="962"/>
      <c r="Z72" s="988"/>
      <c r="AA72" s="1357"/>
      <c r="AB72" s="781"/>
      <c r="AC72" s="781"/>
      <c r="AD72" s="1409"/>
      <c r="AE72" s="1409"/>
      <c r="AF72" s="1383"/>
      <c r="AG72" s="1383"/>
      <c r="AH72" s="751"/>
      <c r="AI72" s="751"/>
      <c r="AJ72" s="10" t="s">
        <v>53</v>
      </c>
      <c r="AK72" s="538"/>
      <c r="AL72" s="538"/>
      <c r="AM72" s="1435"/>
      <c r="AN72" s="1435"/>
      <c r="AO72" s="725"/>
      <c r="AP72" s="725"/>
      <c r="AQ72" s="725"/>
      <c r="AR72" s="725"/>
      <c r="AS72" s="675"/>
      <c r="AT72" s="27"/>
      <c r="AU72" s="699"/>
      <c r="AV72" s="1019">
        <f t="shared" si="8"/>
        <v>0</v>
      </c>
      <c r="AW72" s="654"/>
    </row>
    <row r="73" spans="1:51" ht="15.75">
      <c r="A73" s="2" t="s">
        <v>54</v>
      </c>
      <c r="B73" s="544"/>
      <c r="C73" s="544"/>
      <c r="D73" s="544"/>
      <c r="E73" s="544"/>
      <c r="F73" s="567">
        <f>SUM(B73:E73)</f>
        <v>0</v>
      </c>
      <c r="G73" s="540"/>
      <c r="H73" s="875"/>
      <c r="I73" s="901"/>
      <c r="J73" s="849"/>
      <c r="K73" s="798"/>
      <c r="L73" s="927"/>
      <c r="M73" s="544"/>
      <c r="N73" s="544"/>
      <c r="O73" s="544"/>
      <c r="P73" s="544"/>
      <c r="Q73" s="544"/>
      <c r="R73" s="544"/>
      <c r="S73" s="544"/>
      <c r="T73" s="544"/>
      <c r="U73" s="567">
        <f>SUM(M73:T73)</f>
        <v>0</v>
      </c>
      <c r="V73" s="2" t="s">
        <v>54</v>
      </c>
      <c r="W73" s="540"/>
      <c r="X73" s="1456"/>
      <c r="Y73" s="953"/>
      <c r="Z73" s="979"/>
      <c r="AA73" s="1348"/>
      <c r="AB73" s="772"/>
      <c r="AC73" s="772"/>
      <c r="AD73" s="1400"/>
      <c r="AE73" s="1400"/>
      <c r="AF73" s="1374"/>
      <c r="AG73" s="1374"/>
      <c r="AH73" s="742"/>
      <c r="AI73" s="742"/>
      <c r="AJ73" s="2" t="s">
        <v>54</v>
      </c>
      <c r="AK73" s="540"/>
      <c r="AL73" s="540"/>
      <c r="AM73" s="1426"/>
      <c r="AN73" s="1426"/>
      <c r="AO73" s="716"/>
      <c r="AP73" s="716"/>
      <c r="AQ73" s="716">
        <f>16000*12</f>
        <v>192000</v>
      </c>
      <c r="AR73" s="716"/>
      <c r="AS73" s="665"/>
      <c r="AT73" s="627"/>
      <c r="AU73" s="690"/>
      <c r="AV73" s="1019">
        <f t="shared" si="8"/>
        <v>192000</v>
      </c>
      <c r="AW73" s="654"/>
    </row>
    <row r="74" spans="1:51" ht="15.75">
      <c r="A74" s="10" t="s">
        <v>595</v>
      </c>
      <c r="B74" s="549">
        <f t="shared" ref="B74:U74" si="60">B73</f>
        <v>0</v>
      </c>
      <c r="C74" s="549">
        <f t="shared" si="60"/>
        <v>0</v>
      </c>
      <c r="D74" s="549">
        <f t="shared" si="60"/>
        <v>0</v>
      </c>
      <c r="E74" s="549">
        <f t="shared" si="60"/>
        <v>0</v>
      </c>
      <c r="F74" s="26">
        <f t="shared" si="60"/>
        <v>0</v>
      </c>
      <c r="G74" s="535">
        <f t="shared" si="60"/>
        <v>0</v>
      </c>
      <c r="H74" s="879">
        <f t="shared" si="60"/>
        <v>0</v>
      </c>
      <c r="I74" s="905">
        <f t="shared" si="60"/>
        <v>0</v>
      </c>
      <c r="J74" s="853">
        <f t="shared" si="60"/>
        <v>0</v>
      </c>
      <c r="K74" s="802">
        <f t="shared" si="60"/>
        <v>0</v>
      </c>
      <c r="L74" s="931">
        <f t="shared" si="60"/>
        <v>0</v>
      </c>
      <c r="M74" s="549">
        <f t="shared" si="60"/>
        <v>0</v>
      </c>
      <c r="N74" s="549">
        <f t="shared" si="60"/>
        <v>0</v>
      </c>
      <c r="O74" s="549">
        <f t="shared" si="60"/>
        <v>0</v>
      </c>
      <c r="P74" s="549">
        <f t="shared" si="60"/>
        <v>0</v>
      </c>
      <c r="Q74" s="549">
        <f t="shared" si="60"/>
        <v>0</v>
      </c>
      <c r="R74" s="549">
        <f t="shared" si="60"/>
        <v>0</v>
      </c>
      <c r="S74" s="549">
        <f t="shared" si="60"/>
        <v>0</v>
      </c>
      <c r="T74" s="549">
        <f t="shared" si="60"/>
        <v>0</v>
      </c>
      <c r="U74" s="26">
        <f t="shared" si="60"/>
        <v>0</v>
      </c>
      <c r="V74" s="10" t="s">
        <v>595</v>
      </c>
      <c r="W74" s="535">
        <f>W73</f>
        <v>0</v>
      </c>
      <c r="X74" s="1460">
        <f t="shared" ref="X74:AI74" si="61">X73</f>
        <v>0</v>
      </c>
      <c r="Y74" s="957">
        <f t="shared" si="61"/>
        <v>0</v>
      </c>
      <c r="Z74" s="983">
        <f t="shared" si="61"/>
        <v>0</v>
      </c>
      <c r="AA74" s="1352">
        <f t="shared" si="61"/>
        <v>0</v>
      </c>
      <c r="AB74" s="776">
        <f t="shared" si="61"/>
        <v>0</v>
      </c>
      <c r="AC74" s="776">
        <f t="shared" si="61"/>
        <v>0</v>
      </c>
      <c r="AD74" s="1404">
        <f t="shared" si="61"/>
        <v>0</v>
      </c>
      <c r="AE74" s="1404">
        <f t="shared" si="61"/>
        <v>0</v>
      </c>
      <c r="AF74" s="1378">
        <f t="shared" si="61"/>
        <v>0</v>
      </c>
      <c r="AG74" s="1378">
        <f t="shared" si="61"/>
        <v>0</v>
      </c>
      <c r="AH74" s="746">
        <f t="shared" si="61"/>
        <v>0</v>
      </c>
      <c r="AI74" s="746">
        <f t="shared" si="61"/>
        <v>0</v>
      </c>
      <c r="AJ74" s="10" t="s">
        <v>595</v>
      </c>
      <c r="AK74" s="535">
        <f t="shared" ref="AK74:AU74" si="62">AK73</f>
        <v>0</v>
      </c>
      <c r="AL74" s="535">
        <f t="shared" si="62"/>
        <v>0</v>
      </c>
      <c r="AM74" s="1430">
        <f t="shared" si="62"/>
        <v>0</v>
      </c>
      <c r="AN74" s="1430">
        <f t="shared" si="62"/>
        <v>0</v>
      </c>
      <c r="AO74" s="720">
        <f t="shared" si="62"/>
        <v>0</v>
      </c>
      <c r="AP74" s="720">
        <f t="shared" si="62"/>
        <v>0</v>
      </c>
      <c r="AQ74" s="720">
        <f t="shared" si="62"/>
        <v>192000</v>
      </c>
      <c r="AR74" s="720">
        <f t="shared" si="62"/>
        <v>0</v>
      </c>
      <c r="AS74" s="670">
        <f t="shared" si="62"/>
        <v>0</v>
      </c>
      <c r="AT74" s="27">
        <f t="shared" si="62"/>
        <v>0</v>
      </c>
      <c r="AU74" s="694">
        <f t="shared" si="62"/>
        <v>0</v>
      </c>
      <c r="AV74" s="1019">
        <f t="shared" si="8"/>
        <v>192000</v>
      </c>
      <c r="AW74" s="654"/>
    </row>
    <row r="75" spans="1:51" ht="15.75">
      <c r="A75" s="2" t="s">
        <v>55</v>
      </c>
      <c r="B75" s="544"/>
      <c r="C75" s="544"/>
      <c r="D75" s="544"/>
      <c r="E75" s="544"/>
      <c r="F75" s="567">
        <f>SUM(B75:E75)</f>
        <v>0</v>
      </c>
      <c r="G75" s="540"/>
      <c r="H75" s="875"/>
      <c r="I75" s="901"/>
      <c r="J75" s="849"/>
      <c r="K75" s="798"/>
      <c r="L75" s="927"/>
      <c r="M75" s="544"/>
      <c r="N75" s="544"/>
      <c r="O75" s="544"/>
      <c r="P75" s="544"/>
      <c r="Q75" s="544"/>
      <c r="R75" s="544"/>
      <c r="S75" s="544"/>
      <c r="T75" s="544"/>
      <c r="U75" s="567">
        <f>SUM(M75:T75)</f>
        <v>0</v>
      </c>
      <c r="V75" s="2" t="s">
        <v>55</v>
      </c>
      <c r="W75" s="540"/>
      <c r="X75" s="1456"/>
      <c r="Y75" s="953"/>
      <c r="Z75" s="979"/>
      <c r="AA75" s="1348"/>
      <c r="AB75" s="772"/>
      <c r="AC75" s="772"/>
      <c r="AD75" s="1400"/>
      <c r="AE75" s="1400"/>
      <c r="AF75" s="1374"/>
      <c r="AG75" s="1374"/>
      <c r="AH75" s="742"/>
      <c r="AI75" s="742"/>
      <c r="AJ75" s="2" t="s">
        <v>55</v>
      </c>
      <c r="AK75" s="540"/>
      <c r="AL75" s="540"/>
      <c r="AM75" s="1426"/>
      <c r="AN75" s="1426"/>
      <c r="AO75" s="716"/>
      <c r="AP75" s="716"/>
      <c r="AQ75" s="716"/>
      <c r="AR75" s="716"/>
      <c r="AS75" s="665"/>
      <c r="AT75" s="627"/>
      <c r="AU75" s="690"/>
      <c r="AV75" s="1019">
        <f t="shared" si="8"/>
        <v>0</v>
      </c>
      <c r="AW75" s="654"/>
    </row>
    <row r="76" spans="1:51" ht="15.75">
      <c r="A76" s="2" t="s">
        <v>56</v>
      </c>
      <c r="B76" s="544"/>
      <c r="C76" s="544"/>
      <c r="D76" s="544"/>
      <c r="E76" s="544"/>
      <c r="F76" s="567">
        <f>SUM(B76:E76)</f>
        <v>0</v>
      </c>
      <c r="G76" s="540"/>
      <c r="H76" s="875"/>
      <c r="I76" s="901"/>
      <c r="J76" s="849"/>
      <c r="K76" s="798"/>
      <c r="L76" s="927"/>
      <c r="M76" s="544"/>
      <c r="N76" s="544"/>
      <c r="O76" s="544"/>
      <c r="P76" s="544"/>
      <c r="Q76" s="544"/>
      <c r="R76" s="544"/>
      <c r="S76" s="544"/>
      <c r="T76" s="544"/>
      <c r="U76" s="567">
        <f>SUM(M76:T76)</f>
        <v>0</v>
      </c>
      <c r="V76" s="2" t="s">
        <v>56</v>
      </c>
      <c r="W76" s="540"/>
      <c r="X76" s="1456"/>
      <c r="Y76" s="953"/>
      <c r="Z76" s="979"/>
      <c r="AA76" s="1348"/>
      <c r="AB76" s="772"/>
      <c r="AC76" s="772"/>
      <c r="AD76" s="1400"/>
      <c r="AE76" s="1400"/>
      <c r="AF76" s="1374"/>
      <c r="AG76" s="1374"/>
      <c r="AH76" s="742"/>
      <c r="AI76" s="742"/>
      <c r="AJ76" s="2" t="s">
        <v>56</v>
      </c>
      <c r="AK76" s="540"/>
      <c r="AL76" s="540"/>
      <c r="AM76" s="1426"/>
      <c r="AN76" s="1426"/>
      <c r="AO76" s="716"/>
      <c r="AP76" s="716"/>
      <c r="AQ76" s="716"/>
      <c r="AR76" s="716"/>
      <c r="AS76" s="665"/>
      <c r="AT76" s="627"/>
      <c r="AU76" s="690"/>
      <c r="AV76" s="1019">
        <f t="shared" si="8"/>
        <v>0</v>
      </c>
      <c r="AW76" s="654"/>
    </row>
    <row r="77" spans="1:51" ht="30">
      <c r="A77" s="2" t="s">
        <v>57</v>
      </c>
      <c r="B77" s="544"/>
      <c r="C77" s="544"/>
      <c r="D77" s="544"/>
      <c r="E77" s="544"/>
      <c r="F77" s="567">
        <f>SUM(B77:E77)</f>
        <v>0</v>
      </c>
      <c r="G77" s="540"/>
      <c r="H77" s="875"/>
      <c r="I77" s="901"/>
      <c r="J77" s="849"/>
      <c r="K77" s="798"/>
      <c r="L77" s="927"/>
      <c r="M77" s="544"/>
      <c r="N77" s="544"/>
      <c r="O77" s="544"/>
      <c r="P77" s="544"/>
      <c r="Q77" s="544"/>
      <c r="R77" s="544"/>
      <c r="S77" s="544"/>
      <c r="T77" s="544"/>
      <c r="U77" s="567">
        <f>SUM(M77:T77)</f>
        <v>0</v>
      </c>
      <c r="V77" s="2" t="s">
        <v>57</v>
      </c>
      <c r="W77" s="540"/>
      <c r="X77" s="1456"/>
      <c r="Y77" s="953"/>
      <c r="Z77" s="979"/>
      <c r="AA77" s="1348"/>
      <c r="AB77" s="772"/>
      <c r="AC77" s="772"/>
      <c r="AD77" s="1400"/>
      <c r="AE77" s="1400"/>
      <c r="AF77" s="1374"/>
      <c r="AG77" s="1374"/>
      <c r="AH77" s="742"/>
      <c r="AI77" s="742"/>
      <c r="AJ77" s="2" t="s">
        <v>57</v>
      </c>
      <c r="AK77" s="540"/>
      <c r="AL77" s="540"/>
      <c r="AM77" s="1426"/>
      <c r="AN77" s="1426"/>
      <c r="AO77" s="716"/>
      <c r="AP77" s="716"/>
      <c r="AQ77" s="716"/>
      <c r="AR77" s="716"/>
      <c r="AS77" s="665"/>
      <c r="AT77" s="627"/>
      <c r="AU77" s="690"/>
      <c r="AV77" s="1019">
        <f t="shared" si="8"/>
        <v>0</v>
      </c>
      <c r="AW77" s="654"/>
    </row>
    <row r="78" spans="1:51" ht="45">
      <c r="A78" s="2" t="s">
        <v>596</v>
      </c>
      <c r="B78" s="544"/>
      <c r="C78" s="544"/>
      <c r="D78" s="544"/>
      <c r="E78" s="544">
        <v>100000</v>
      </c>
      <c r="F78" s="567">
        <f>SUM(B78:E78)</f>
        <v>100000</v>
      </c>
      <c r="G78" s="540"/>
      <c r="H78" s="875"/>
      <c r="I78" s="901"/>
      <c r="J78" s="849"/>
      <c r="K78" s="798"/>
      <c r="L78" s="927"/>
      <c r="M78" s="544"/>
      <c r="N78" s="544"/>
      <c r="O78" s="544"/>
      <c r="P78" s="544"/>
      <c r="Q78" s="544"/>
      <c r="R78" s="544"/>
      <c r="S78" s="544"/>
      <c r="T78" s="544"/>
      <c r="U78" s="567">
        <f>SUM(M78:T78)</f>
        <v>0</v>
      </c>
      <c r="V78" s="2" t="s">
        <v>596</v>
      </c>
      <c r="W78" s="540"/>
      <c r="X78" s="1456"/>
      <c r="Y78" s="953"/>
      <c r="Z78" s="979"/>
      <c r="AA78" s="1348">
        <v>50000</v>
      </c>
      <c r="AB78" s="772"/>
      <c r="AC78" s="772"/>
      <c r="AD78" s="1400"/>
      <c r="AE78" s="1400"/>
      <c r="AF78" s="1374"/>
      <c r="AG78" s="1374"/>
      <c r="AH78" s="742"/>
      <c r="AI78" s="742"/>
      <c r="AJ78" s="2" t="s">
        <v>596</v>
      </c>
      <c r="AK78" s="540"/>
      <c r="AL78" s="540"/>
      <c r="AM78" s="1426"/>
      <c r="AN78" s="1426"/>
      <c r="AO78" s="716"/>
      <c r="AP78" s="716"/>
      <c r="AQ78" s="716">
        <v>50000</v>
      </c>
      <c r="AR78" s="716"/>
      <c r="AS78" s="665"/>
      <c r="AT78" s="627"/>
      <c r="AU78" s="690"/>
      <c r="AV78" s="1019">
        <f t="shared" si="8"/>
        <v>200000</v>
      </c>
      <c r="AW78" s="654"/>
    </row>
    <row r="79" spans="1:51" ht="30">
      <c r="A79" s="2" t="s">
        <v>171</v>
      </c>
      <c r="B79" s="544"/>
      <c r="C79" s="544"/>
      <c r="D79" s="544"/>
      <c r="E79" s="544">
        <v>1000</v>
      </c>
      <c r="F79" s="567">
        <f>SUM(B79:E79)</f>
        <v>1000</v>
      </c>
      <c r="G79" s="540"/>
      <c r="H79" s="875"/>
      <c r="I79" s="901"/>
      <c r="J79" s="849"/>
      <c r="K79" s="798"/>
      <c r="L79" s="927"/>
      <c r="M79" s="544"/>
      <c r="N79" s="544"/>
      <c r="O79" s="544"/>
      <c r="P79" s="544"/>
      <c r="Q79" s="544"/>
      <c r="R79" s="544"/>
      <c r="S79" s="544"/>
      <c r="T79" s="544"/>
      <c r="U79" s="567">
        <f>SUM(M79:T79)</f>
        <v>0</v>
      </c>
      <c r="V79" s="2" t="s">
        <v>171</v>
      </c>
      <c r="W79" s="540"/>
      <c r="X79" s="1456"/>
      <c r="Y79" s="953"/>
      <c r="Z79" s="979"/>
      <c r="AA79" s="1348"/>
      <c r="AB79" s="772"/>
      <c r="AC79" s="772"/>
      <c r="AD79" s="1400"/>
      <c r="AE79" s="1400"/>
      <c r="AF79" s="1374"/>
      <c r="AG79" s="1374"/>
      <c r="AH79" s="742"/>
      <c r="AI79" s="742"/>
      <c r="AJ79" s="2" t="s">
        <v>171</v>
      </c>
      <c r="AK79" s="540"/>
      <c r="AL79" s="540"/>
      <c r="AM79" s="1426"/>
      <c r="AN79" s="1426"/>
      <c r="AO79" s="716"/>
      <c r="AP79" s="716"/>
      <c r="AQ79" s="716"/>
      <c r="AR79" s="716"/>
      <c r="AS79" s="665"/>
      <c r="AT79" s="627"/>
      <c r="AU79" s="690"/>
      <c r="AV79" s="1019">
        <f t="shared" si="8"/>
        <v>1000</v>
      </c>
      <c r="AW79" s="654"/>
    </row>
    <row r="80" spans="1:51" ht="16.5" thickBot="1">
      <c r="A80" s="525" t="s">
        <v>58</v>
      </c>
      <c r="B80" s="550">
        <f t="shared" ref="B80:L80" si="63">SUM(B75:B79)</f>
        <v>0</v>
      </c>
      <c r="C80" s="550">
        <f>SUM(C75:C79)</f>
        <v>0</v>
      </c>
      <c r="D80" s="550">
        <f>SUM(D75:D79)</f>
        <v>0</v>
      </c>
      <c r="E80" s="550">
        <f t="shared" si="63"/>
        <v>101000</v>
      </c>
      <c r="F80" s="526">
        <f t="shared" si="63"/>
        <v>101000</v>
      </c>
      <c r="G80" s="532">
        <f t="shared" si="63"/>
        <v>0</v>
      </c>
      <c r="H80" s="880">
        <f t="shared" si="63"/>
        <v>0</v>
      </c>
      <c r="I80" s="906">
        <f t="shared" si="63"/>
        <v>0</v>
      </c>
      <c r="J80" s="854">
        <f t="shared" si="63"/>
        <v>0</v>
      </c>
      <c r="K80" s="803">
        <f t="shared" si="63"/>
        <v>0</v>
      </c>
      <c r="L80" s="932">
        <f t="shared" si="63"/>
        <v>0</v>
      </c>
      <c r="M80" s="550">
        <f t="shared" ref="M80:U80" si="64">SUM(M75:M79)</f>
        <v>0</v>
      </c>
      <c r="N80" s="550">
        <f t="shared" si="64"/>
        <v>0</v>
      </c>
      <c r="O80" s="550">
        <f t="shared" si="64"/>
        <v>0</v>
      </c>
      <c r="P80" s="550">
        <f t="shared" si="64"/>
        <v>0</v>
      </c>
      <c r="Q80" s="550">
        <f t="shared" si="64"/>
        <v>0</v>
      </c>
      <c r="R80" s="550">
        <f t="shared" si="64"/>
        <v>0</v>
      </c>
      <c r="S80" s="550">
        <f t="shared" si="64"/>
        <v>0</v>
      </c>
      <c r="T80" s="550">
        <f t="shared" si="64"/>
        <v>0</v>
      </c>
      <c r="U80" s="526">
        <f t="shared" si="64"/>
        <v>0</v>
      </c>
      <c r="V80" s="525" t="s">
        <v>58</v>
      </c>
      <c r="W80" s="532">
        <f>SUM(W75:W79)</f>
        <v>0</v>
      </c>
      <c r="X80" s="1461">
        <f t="shared" ref="X80:AU80" si="65">SUM(X75:X79)</f>
        <v>0</v>
      </c>
      <c r="Y80" s="958">
        <f t="shared" si="65"/>
        <v>0</v>
      </c>
      <c r="Z80" s="984">
        <f t="shared" si="65"/>
        <v>0</v>
      </c>
      <c r="AA80" s="1353">
        <f t="shared" si="65"/>
        <v>50000</v>
      </c>
      <c r="AB80" s="777">
        <f t="shared" si="65"/>
        <v>0</v>
      </c>
      <c r="AC80" s="777">
        <f t="shared" si="65"/>
        <v>0</v>
      </c>
      <c r="AD80" s="1405">
        <f t="shared" si="65"/>
        <v>0</v>
      </c>
      <c r="AE80" s="1405">
        <f t="shared" si="65"/>
        <v>0</v>
      </c>
      <c r="AF80" s="1379">
        <f>SUM(AF75:AF79)</f>
        <v>0</v>
      </c>
      <c r="AG80" s="1379">
        <f>SUM(AG75:AG79)</f>
        <v>0</v>
      </c>
      <c r="AH80" s="747">
        <f>SUM(AH75:AH79)</f>
        <v>0</v>
      </c>
      <c r="AI80" s="747">
        <f>SUM(AI75:AI79)</f>
        <v>0</v>
      </c>
      <c r="AJ80" s="525" t="s">
        <v>58</v>
      </c>
      <c r="AK80" s="532">
        <f>SUM(AK75:AK79)</f>
        <v>0</v>
      </c>
      <c r="AL80" s="532">
        <f>SUM(AL75:AL79)</f>
        <v>0</v>
      </c>
      <c r="AM80" s="1431">
        <f>SUM(AM75:AM79)</f>
        <v>0</v>
      </c>
      <c r="AN80" s="1431">
        <f>SUM(AN75:AN79)</f>
        <v>0</v>
      </c>
      <c r="AO80" s="721">
        <f t="shared" si="65"/>
        <v>0</v>
      </c>
      <c r="AP80" s="721">
        <f t="shared" si="65"/>
        <v>0</v>
      </c>
      <c r="AQ80" s="721">
        <f>SUM(AQ75:AQ79)</f>
        <v>50000</v>
      </c>
      <c r="AR80" s="721">
        <f t="shared" si="65"/>
        <v>0</v>
      </c>
      <c r="AS80" s="671">
        <f t="shared" si="65"/>
        <v>0</v>
      </c>
      <c r="AT80" s="632">
        <f t="shared" si="65"/>
        <v>0</v>
      </c>
      <c r="AU80" s="695">
        <f t="shared" si="65"/>
        <v>0</v>
      </c>
      <c r="AV80" s="1020">
        <f t="shared" si="8"/>
        <v>201000</v>
      </c>
      <c r="AW80" s="654"/>
      <c r="AX80" s="656"/>
    </row>
    <row r="81" spans="1:50" ht="30.75" thickBot="1">
      <c r="A81" s="528" t="s">
        <v>59</v>
      </c>
      <c r="B81" s="551">
        <f>B71+B72+B74+B80</f>
        <v>0</v>
      </c>
      <c r="C81" s="551">
        <f>C71+C72+C74+C80</f>
        <v>0</v>
      </c>
      <c r="D81" s="551">
        <f>D71+D72+D74+D80</f>
        <v>0</v>
      </c>
      <c r="E81" s="551">
        <f>E71+E72+E74+E80</f>
        <v>2520740</v>
      </c>
      <c r="F81" s="529">
        <f>F71+F72+F74+F80</f>
        <v>2520740</v>
      </c>
      <c r="G81" s="533">
        <f t="shared" ref="G81:L81" si="66">SUM(G71,G80)</f>
        <v>106920</v>
      </c>
      <c r="H81" s="881">
        <f t="shared" si="66"/>
        <v>29160.000000000004</v>
      </c>
      <c r="I81" s="907">
        <f t="shared" si="66"/>
        <v>837000</v>
      </c>
      <c r="J81" s="855">
        <f t="shared" si="66"/>
        <v>0</v>
      </c>
      <c r="K81" s="804">
        <f t="shared" si="66"/>
        <v>0</v>
      </c>
      <c r="L81" s="933">
        <f t="shared" si="66"/>
        <v>0</v>
      </c>
      <c r="M81" s="551">
        <f t="shared" ref="M81:U81" si="67">M71+M72+M74+M80</f>
        <v>0</v>
      </c>
      <c r="N81" s="551">
        <f t="shared" si="67"/>
        <v>0</v>
      </c>
      <c r="O81" s="551">
        <f t="shared" si="67"/>
        <v>0</v>
      </c>
      <c r="P81" s="551">
        <f t="shared" si="67"/>
        <v>0</v>
      </c>
      <c r="Q81" s="551">
        <f t="shared" si="67"/>
        <v>0</v>
      </c>
      <c r="R81" s="551">
        <f t="shared" si="67"/>
        <v>0</v>
      </c>
      <c r="S81" s="551">
        <f t="shared" si="67"/>
        <v>0</v>
      </c>
      <c r="T81" s="551">
        <f t="shared" si="67"/>
        <v>0</v>
      </c>
      <c r="U81" s="529">
        <f t="shared" si="67"/>
        <v>0</v>
      </c>
      <c r="V81" s="528" t="s">
        <v>59</v>
      </c>
      <c r="W81" s="533">
        <f>SUM(W71,W80)</f>
        <v>541350</v>
      </c>
      <c r="X81" s="1462">
        <f t="shared" ref="X81:AR81" si="68">SUM(X71,X80)</f>
        <v>0</v>
      </c>
      <c r="Y81" s="959">
        <f t="shared" si="68"/>
        <v>1036800.0000000001</v>
      </c>
      <c r="Z81" s="985">
        <f t="shared" si="68"/>
        <v>191700</v>
      </c>
      <c r="AA81" s="1354">
        <f t="shared" si="68"/>
        <v>475520</v>
      </c>
      <c r="AB81" s="778">
        <f t="shared" si="68"/>
        <v>2036070.0000000002</v>
      </c>
      <c r="AC81" s="778">
        <f t="shared" si="68"/>
        <v>0</v>
      </c>
      <c r="AD81" s="1406">
        <f t="shared" si="68"/>
        <v>0</v>
      </c>
      <c r="AE81" s="1406">
        <f t="shared" si="68"/>
        <v>0</v>
      </c>
      <c r="AF81" s="1380">
        <f>SUM(AF71,AF80)</f>
        <v>14850.000000000002</v>
      </c>
      <c r="AG81" s="1380">
        <f>SUM(AG71,AG80)</f>
        <v>193590</v>
      </c>
      <c r="AH81" s="748">
        <f>SUM(AH71,AH80)</f>
        <v>422280</v>
      </c>
      <c r="AI81" s="748">
        <f>SUM(AI71,AI80)</f>
        <v>723685.05</v>
      </c>
      <c r="AJ81" s="528" t="s">
        <v>59</v>
      </c>
      <c r="AK81" s="533">
        <f>SUM(AK71,AK80)</f>
        <v>0</v>
      </c>
      <c r="AL81" s="533">
        <f>SUM(AL71,AL80)</f>
        <v>0</v>
      </c>
      <c r="AM81" s="1432">
        <f>SUM(AM71,AM80)</f>
        <v>0</v>
      </c>
      <c r="AN81" s="1432">
        <f>SUM(AN71,AN80)</f>
        <v>283500</v>
      </c>
      <c r="AO81" s="722">
        <f t="shared" si="68"/>
        <v>0</v>
      </c>
      <c r="AP81" s="722">
        <f t="shared" si="68"/>
        <v>0</v>
      </c>
      <c r="AQ81" s="722">
        <f>SUM(AQ71,AQ80)</f>
        <v>161780</v>
      </c>
      <c r="AR81" s="722">
        <f t="shared" si="68"/>
        <v>9720</v>
      </c>
      <c r="AS81" s="672">
        <f>AS71+AS72+AS74+AS80</f>
        <v>0</v>
      </c>
      <c r="AT81" s="574">
        <f>SUM(AT71,AT80)</f>
        <v>0</v>
      </c>
      <c r="AU81" s="696">
        <f>AU71+AU74+AU80</f>
        <v>0</v>
      </c>
      <c r="AV81" s="25">
        <f t="shared" ref="AV81:AV148" si="69">SUM(B81:AU81)-SUM(M81:T81)-SUM(B81:E81)</f>
        <v>9584665.0500000007</v>
      </c>
      <c r="AW81" s="654"/>
    </row>
    <row r="82" spans="1:50" ht="16.5" thickBot="1">
      <c r="A82" s="13" t="s">
        <v>60</v>
      </c>
      <c r="B82" s="577">
        <f t="shared" ref="B82:U82" si="70">B40+B47+B65+B70+B81</f>
        <v>0</v>
      </c>
      <c r="C82" s="577">
        <f t="shared" si="70"/>
        <v>0</v>
      </c>
      <c r="D82" s="577">
        <f t="shared" si="70"/>
        <v>0</v>
      </c>
      <c r="E82" s="577">
        <f t="shared" si="70"/>
        <v>11632740</v>
      </c>
      <c r="F82" s="578">
        <f t="shared" si="70"/>
        <v>11632740</v>
      </c>
      <c r="G82" s="579">
        <f t="shared" si="70"/>
        <v>502920</v>
      </c>
      <c r="H82" s="886">
        <f t="shared" si="70"/>
        <v>137160</v>
      </c>
      <c r="I82" s="912">
        <f t="shared" si="70"/>
        <v>3937000</v>
      </c>
      <c r="J82" s="860">
        <f t="shared" si="70"/>
        <v>0</v>
      </c>
      <c r="K82" s="809">
        <f t="shared" si="70"/>
        <v>0</v>
      </c>
      <c r="L82" s="938">
        <f t="shared" si="70"/>
        <v>0</v>
      </c>
      <c r="M82" s="577">
        <f t="shared" si="70"/>
        <v>0</v>
      </c>
      <c r="N82" s="577">
        <f t="shared" si="70"/>
        <v>0</v>
      </c>
      <c r="O82" s="577">
        <f t="shared" si="70"/>
        <v>0</v>
      </c>
      <c r="P82" s="577">
        <f t="shared" si="70"/>
        <v>0</v>
      </c>
      <c r="Q82" s="577">
        <f t="shared" si="70"/>
        <v>0</v>
      </c>
      <c r="R82" s="577">
        <f t="shared" si="70"/>
        <v>0</v>
      </c>
      <c r="S82" s="577">
        <f t="shared" si="70"/>
        <v>0</v>
      </c>
      <c r="T82" s="577">
        <f t="shared" si="70"/>
        <v>0</v>
      </c>
      <c r="U82" s="578">
        <f t="shared" si="70"/>
        <v>0</v>
      </c>
      <c r="V82" s="13" t="s">
        <v>60</v>
      </c>
      <c r="W82" s="579">
        <f t="shared" ref="W82:AI82" si="71">W40+W47+W65+W70+W81</f>
        <v>2546350</v>
      </c>
      <c r="X82" s="1467">
        <f t="shared" si="71"/>
        <v>0</v>
      </c>
      <c r="Y82" s="964">
        <f t="shared" si="71"/>
        <v>4876800</v>
      </c>
      <c r="Z82" s="990">
        <f t="shared" si="71"/>
        <v>901700</v>
      </c>
      <c r="AA82" s="1359">
        <f t="shared" si="71"/>
        <v>2051520</v>
      </c>
      <c r="AB82" s="783">
        <f t="shared" si="71"/>
        <v>9577070</v>
      </c>
      <c r="AC82" s="783">
        <f t="shared" si="71"/>
        <v>0</v>
      </c>
      <c r="AD82" s="1411">
        <f t="shared" si="71"/>
        <v>0</v>
      </c>
      <c r="AE82" s="1411">
        <f t="shared" si="71"/>
        <v>0</v>
      </c>
      <c r="AF82" s="1385">
        <f t="shared" si="71"/>
        <v>69850</v>
      </c>
      <c r="AG82" s="1385">
        <f t="shared" si="71"/>
        <v>1090590</v>
      </c>
      <c r="AH82" s="753">
        <f t="shared" si="71"/>
        <v>1986280</v>
      </c>
      <c r="AI82" s="753">
        <f t="shared" si="71"/>
        <v>3404000.05</v>
      </c>
      <c r="AJ82" s="13" t="s">
        <v>60</v>
      </c>
      <c r="AK82" s="579">
        <f t="shared" ref="AK82:AU82" si="72">AK40+AK47+AK65+AK70+AK81</f>
        <v>0</v>
      </c>
      <c r="AL82" s="579">
        <f t="shared" si="72"/>
        <v>0</v>
      </c>
      <c r="AM82" s="1437">
        <f t="shared" si="72"/>
        <v>0</v>
      </c>
      <c r="AN82" s="1437">
        <f t="shared" si="72"/>
        <v>1333500</v>
      </c>
      <c r="AO82" s="727">
        <f t="shared" si="72"/>
        <v>0</v>
      </c>
      <c r="AP82" s="727">
        <f t="shared" si="72"/>
        <v>0</v>
      </c>
      <c r="AQ82" s="727">
        <f t="shared" si="72"/>
        <v>575780</v>
      </c>
      <c r="AR82" s="727">
        <f t="shared" si="72"/>
        <v>45720</v>
      </c>
      <c r="AS82" s="676">
        <f t="shared" si="72"/>
        <v>0</v>
      </c>
      <c r="AT82" s="633">
        <f t="shared" si="72"/>
        <v>0</v>
      </c>
      <c r="AU82" s="701">
        <f t="shared" si="72"/>
        <v>0</v>
      </c>
      <c r="AV82" s="1518">
        <f t="shared" si="69"/>
        <v>44668980.049999997</v>
      </c>
      <c r="AW82" s="654"/>
      <c r="AX82" s="654"/>
    </row>
    <row r="83" spans="1:50" ht="30.75" thickBot="1">
      <c r="A83" s="580" t="s">
        <v>633</v>
      </c>
      <c r="B83" s="581"/>
      <c r="C83" s="581"/>
      <c r="D83" s="581"/>
      <c r="E83" s="581"/>
      <c r="F83" s="582">
        <f>SUM(B83:E83)</f>
        <v>0</v>
      </c>
      <c r="G83" s="650"/>
      <c r="H83" s="887"/>
      <c r="I83" s="913"/>
      <c r="J83" s="861"/>
      <c r="K83" s="810"/>
      <c r="L83" s="939"/>
      <c r="M83" s="581"/>
      <c r="N83" s="581"/>
      <c r="O83" s="581"/>
      <c r="P83" s="581"/>
      <c r="Q83" s="581"/>
      <c r="R83" s="581"/>
      <c r="S83" s="581"/>
      <c r="T83" s="581"/>
      <c r="U83" s="582">
        <f>SUM(M83:T83)</f>
        <v>0</v>
      </c>
      <c r="V83" s="580" t="s">
        <v>633</v>
      </c>
      <c r="W83" s="650"/>
      <c r="X83" s="1468"/>
      <c r="Y83" s="965"/>
      <c r="Z83" s="991"/>
      <c r="AA83" s="1360"/>
      <c r="AB83" s="784"/>
      <c r="AC83" s="784"/>
      <c r="AD83" s="1412"/>
      <c r="AE83" s="1412"/>
      <c r="AF83" s="1386"/>
      <c r="AG83" s="1386"/>
      <c r="AH83" s="754"/>
      <c r="AI83" s="754"/>
      <c r="AJ83" s="580" t="s">
        <v>633</v>
      </c>
      <c r="AK83" s="650"/>
      <c r="AL83" s="650"/>
      <c r="AM83" s="1438"/>
      <c r="AN83" s="1438"/>
      <c r="AO83" s="728"/>
      <c r="AP83" s="728"/>
      <c r="AQ83" s="728"/>
      <c r="AR83" s="728"/>
      <c r="AS83" s="677"/>
      <c r="AT83" s="634"/>
      <c r="AU83" s="702"/>
      <c r="AV83" s="25">
        <f t="shared" si="69"/>
        <v>0</v>
      </c>
      <c r="AW83" s="654"/>
    </row>
    <row r="84" spans="1:50" ht="16.5" thickBot="1">
      <c r="A84" s="528" t="s">
        <v>61</v>
      </c>
      <c r="B84" s="551">
        <f t="shared" ref="B84:L84" si="73">B83</f>
        <v>0</v>
      </c>
      <c r="C84" s="551">
        <f>C83</f>
        <v>0</v>
      </c>
      <c r="D84" s="551">
        <f>D83</f>
        <v>0</v>
      </c>
      <c r="E84" s="551">
        <f t="shared" si="73"/>
        <v>0</v>
      </c>
      <c r="F84" s="529">
        <f t="shared" si="73"/>
        <v>0</v>
      </c>
      <c r="G84" s="533">
        <f t="shared" si="73"/>
        <v>0</v>
      </c>
      <c r="H84" s="881">
        <f t="shared" si="73"/>
        <v>0</v>
      </c>
      <c r="I84" s="907">
        <f t="shared" si="73"/>
        <v>0</v>
      </c>
      <c r="J84" s="855">
        <f t="shared" si="73"/>
        <v>0</v>
      </c>
      <c r="K84" s="804">
        <f t="shared" si="73"/>
        <v>0</v>
      </c>
      <c r="L84" s="933">
        <f t="shared" si="73"/>
        <v>0</v>
      </c>
      <c r="M84" s="551">
        <f t="shared" ref="M84:U84" si="74">M83</f>
        <v>0</v>
      </c>
      <c r="N84" s="551">
        <f t="shared" si="74"/>
        <v>0</v>
      </c>
      <c r="O84" s="551">
        <f t="shared" si="74"/>
        <v>0</v>
      </c>
      <c r="P84" s="551">
        <f t="shared" si="74"/>
        <v>0</v>
      </c>
      <c r="Q84" s="551">
        <f t="shared" si="74"/>
        <v>0</v>
      </c>
      <c r="R84" s="551">
        <f t="shared" si="74"/>
        <v>0</v>
      </c>
      <c r="S84" s="551">
        <f t="shared" si="74"/>
        <v>0</v>
      </c>
      <c r="T84" s="551">
        <f t="shared" si="74"/>
        <v>0</v>
      </c>
      <c r="U84" s="529">
        <f t="shared" si="74"/>
        <v>0</v>
      </c>
      <c r="V84" s="528" t="s">
        <v>61</v>
      </c>
      <c r="W84" s="533">
        <f>W83</f>
        <v>0</v>
      </c>
      <c r="X84" s="1462">
        <f t="shared" ref="X84:AR84" si="75">X83</f>
        <v>0</v>
      </c>
      <c r="Y84" s="959">
        <f t="shared" si="75"/>
        <v>0</v>
      </c>
      <c r="Z84" s="985">
        <f t="shared" si="75"/>
        <v>0</v>
      </c>
      <c r="AA84" s="1354">
        <f t="shared" si="75"/>
        <v>0</v>
      </c>
      <c r="AB84" s="778">
        <f t="shared" si="75"/>
        <v>0</v>
      </c>
      <c r="AC84" s="778">
        <f t="shared" si="75"/>
        <v>0</v>
      </c>
      <c r="AD84" s="1406">
        <f t="shared" si="75"/>
        <v>0</v>
      </c>
      <c r="AE84" s="1406">
        <f t="shared" si="75"/>
        <v>0</v>
      </c>
      <c r="AF84" s="1380">
        <f>AF83</f>
        <v>0</v>
      </c>
      <c r="AG84" s="1380">
        <f>AG83</f>
        <v>0</v>
      </c>
      <c r="AH84" s="748">
        <f>AH83</f>
        <v>0</v>
      </c>
      <c r="AI84" s="748">
        <f>AI83</f>
        <v>0</v>
      </c>
      <c r="AJ84" s="528" t="s">
        <v>61</v>
      </c>
      <c r="AK84" s="533">
        <f>AK83</f>
        <v>0</v>
      </c>
      <c r="AL84" s="533">
        <f>AL83</f>
        <v>0</v>
      </c>
      <c r="AM84" s="1432">
        <f>AM83</f>
        <v>0</v>
      </c>
      <c r="AN84" s="1432">
        <f>AN83</f>
        <v>0</v>
      </c>
      <c r="AO84" s="722">
        <f t="shared" si="75"/>
        <v>0</v>
      </c>
      <c r="AP84" s="722">
        <f t="shared" si="75"/>
        <v>0</v>
      </c>
      <c r="AQ84" s="722">
        <f>AQ83</f>
        <v>0</v>
      </c>
      <c r="AR84" s="722">
        <f t="shared" si="75"/>
        <v>0</v>
      </c>
      <c r="AS84" s="672"/>
      <c r="AT84" s="574">
        <f>AT83</f>
        <v>0</v>
      </c>
      <c r="AU84" s="696">
        <f>AU83</f>
        <v>0</v>
      </c>
      <c r="AV84" s="25">
        <f t="shared" si="69"/>
        <v>0</v>
      </c>
      <c r="AW84" s="654"/>
    </row>
    <row r="85" spans="1:50" ht="15.75">
      <c r="A85" s="14" t="s">
        <v>62</v>
      </c>
      <c r="B85" s="573"/>
      <c r="C85" s="573"/>
      <c r="D85" s="573"/>
      <c r="E85" s="573"/>
      <c r="F85" s="24">
        <f>SUM(B85:E85)</f>
        <v>0</v>
      </c>
      <c r="G85" s="542"/>
      <c r="H85" s="888"/>
      <c r="I85" s="914"/>
      <c r="J85" s="862"/>
      <c r="K85" s="811"/>
      <c r="L85" s="940"/>
      <c r="M85" s="573"/>
      <c r="N85" s="573"/>
      <c r="O85" s="573"/>
      <c r="P85" s="573"/>
      <c r="Q85" s="573"/>
      <c r="R85" s="573"/>
      <c r="S85" s="573"/>
      <c r="T85" s="573"/>
      <c r="U85" s="24">
        <f>SUM(M85:T85)</f>
        <v>0</v>
      </c>
      <c r="V85" s="14" t="s">
        <v>62</v>
      </c>
      <c r="W85" s="542"/>
      <c r="X85" s="1469"/>
      <c r="Y85" s="966"/>
      <c r="Z85" s="992"/>
      <c r="AA85" s="1361"/>
      <c r="AB85" s="785"/>
      <c r="AC85" s="785"/>
      <c r="AD85" s="1413"/>
      <c r="AE85" s="1413"/>
      <c r="AF85" s="1387"/>
      <c r="AG85" s="1387"/>
      <c r="AH85" s="755"/>
      <c r="AI85" s="755"/>
      <c r="AJ85" s="14" t="s">
        <v>62</v>
      </c>
      <c r="AK85" s="542"/>
      <c r="AL85" s="542"/>
      <c r="AM85" s="1439"/>
      <c r="AN85" s="1439"/>
      <c r="AO85" s="729"/>
      <c r="AP85" s="729"/>
      <c r="AQ85" s="729"/>
      <c r="AR85" s="729"/>
      <c r="AS85" s="678"/>
      <c r="AT85" s="635"/>
      <c r="AU85" s="703"/>
      <c r="AV85" s="25">
        <f t="shared" si="69"/>
        <v>0</v>
      </c>
      <c r="AW85" s="654"/>
    </row>
    <row r="86" spans="1:50" ht="15.75">
      <c r="A86" s="11" t="s">
        <v>63</v>
      </c>
      <c r="B86" s="552">
        <f t="shared" ref="B86:L86" si="76">B85</f>
        <v>0</v>
      </c>
      <c r="C86" s="552">
        <f>C85</f>
        <v>0</v>
      </c>
      <c r="D86" s="552">
        <f>D85</f>
        <v>0</v>
      </c>
      <c r="E86" s="552">
        <f t="shared" si="76"/>
        <v>0</v>
      </c>
      <c r="F86" s="28">
        <f t="shared" si="76"/>
        <v>0</v>
      </c>
      <c r="G86" s="537">
        <f t="shared" si="76"/>
        <v>0</v>
      </c>
      <c r="H86" s="889">
        <f t="shared" si="76"/>
        <v>0</v>
      </c>
      <c r="I86" s="915">
        <f t="shared" si="76"/>
        <v>0</v>
      </c>
      <c r="J86" s="863">
        <f t="shared" si="76"/>
        <v>0</v>
      </c>
      <c r="K86" s="812">
        <f t="shared" si="76"/>
        <v>0</v>
      </c>
      <c r="L86" s="941">
        <f t="shared" si="76"/>
        <v>0</v>
      </c>
      <c r="M86" s="552">
        <f t="shared" ref="M86:U86" si="77">M85</f>
        <v>0</v>
      </c>
      <c r="N86" s="552">
        <f t="shared" si="77"/>
        <v>0</v>
      </c>
      <c r="O86" s="552">
        <f t="shared" si="77"/>
        <v>0</v>
      </c>
      <c r="P86" s="552">
        <f t="shared" si="77"/>
        <v>0</v>
      </c>
      <c r="Q86" s="552">
        <f t="shared" si="77"/>
        <v>0</v>
      </c>
      <c r="R86" s="552">
        <f t="shared" si="77"/>
        <v>0</v>
      </c>
      <c r="S86" s="552">
        <f t="shared" si="77"/>
        <v>0</v>
      </c>
      <c r="T86" s="552">
        <f t="shared" si="77"/>
        <v>0</v>
      </c>
      <c r="U86" s="28">
        <f t="shared" si="77"/>
        <v>0</v>
      </c>
      <c r="V86" s="11" t="s">
        <v>63</v>
      </c>
      <c r="W86" s="537">
        <f>W85</f>
        <v>0</v>
      </c>
      <c r="X86" s="1470">
        <f t="shared" ref="X86:AR86" si="78">X85</f>
        <v>0</v>
      </c>
      <c r="Y86" s="967">
        <f t="shared" si="78"/>
        <v>0</v>
      </c>
      <c r="Z86" s="993">
        <f t="shared" si="78"/>
        <v>0</v>
      </c>
      <c r="AA86" s="1362">
        <f t="shared" si="78"/>
        <v>0</v>
      </c>
      <c r="AB86" s="786">
        <f t="shared" si="78"/>
        <v>0</v>
      </c>
      <c r="AC86" s="786">
        <f t="shared" si="78"/>
        <v>0</v>
      </c>
      <c r="AD86" s="1414">
        <f t="shared" si="78"/>
        <v>0</v>
      </c>
      <c r="AE86" s="1414">
        <f t="shared" si="78"/>
        <v>0</v>
      </c>
      <c r="AF86" s="1388">
        <f>AF85</f>
        <v>0</v>
      </c>
      <c r="AG86" s="1388">
        <f>AG85</f>
        <v>0</v>
      </c>
      <c r="AH86" s="756">
        <f>AH85</f>
        <v>0</v>
      </c>
      <c r="AI86" s="756">
        <f>AI85</f>
        <v>0</v>
      </c>
      <c r="AJ86" s="11" t="s">
        <v>63</v>
      </c>
      <c r="AK86" s="537">
        <f>AK85</f>
        <v>0</v>
      </c>
      <c r="AL86" s="537">
        <f>AL85</f>
        <v>0</v>
      </c>
      <c r="AM86" s="1440">
        <f>AM85</f>
        <v>0</v>
      </c>
      <c r="AN86" s="1440">
        <f>AN85</f>
        <v>0</v>
      </c>
      <c r="AO86" s="730">
        <f t="shared" si="78"/>
        <v>0</v>
      </c>
      <c r="AP86" s="730">
        <f t="shared" si="78"/>
        <v>0</v>
      </c>
      <c r="AQ86" s="730">
        <f>AQ85</f>
        <v>0</v>
      </c>
      <c r="AR86" s="730">
        <f t="shared" si="78"/>
        <v>0</v>
      </c>
      <c r="AS86" s="679"/>
      <c r="AT86" s="636">
        <f>AT85</f>
        <v>0</v>
      </c>
      <c r="AU86" s="704">
        <f>AU85</f>
        <v>0</v>
      </c>
      <c r="AV86" s="1019">
        <f t="shared" si="69"/>
        <v>0</v>
      </c>
      <c r="AW86" s="654"/>
    </row>
    <row r="87" spans="1:50" ht="30">
      <c r="A87" s="10" t="s">
        <v>64</v>
      </c>
      <c r="B87" s="549"/>
      <c r="C87" s="549"/>
      <c r="D87" s="549"/>
      <c r="E87" s="549"/>
      <c r="F87" s="23">
        <f>SUM(B87:E87)</f>
        <v>0</v>
      </c>
      <c r="G87" s="536"/>
      <c r="H87" s="890"/>
      <c r="I87" s="916"/>
      <c r="J87" s="864"/>
      <c r="K87" s="813"/>
      <c r="L87" s="942"/>
      <c r="M87" s="549"/>
      <c r="N87" s="549"/>
      <c r="O87" s="549"/>
      <c r="P87" s="549"/>
      <c r="Q87" s="549"/>
      <c r="R87" s="549"/>
      <c r="S87" s="549"/>
      <c r="T87" s="549"/>
      <c r="U87" s="23">
        <f>SUM(M87:T87)</f>
        <v>0</v>
      </c>
      <c r="V87" s="10" t="s">
        <v>64</v>
      </c>
      <c r="W87" s="536"/>
      <c r="X87" s="1471"/>
      <c r="Y87" s="968"/>
      <c r="Z87" s="994"/>
      <c r="AA87" s="1363"/>
      <c r="AB87" s="787"/>
      <c r="AC87" s="787"/>
      <c r="AD87" s="1415"/>
      <c r="AE87" s="1415"/>
      <c r="AF87" s="1389"/>
      <c r="AG87" s="1389"/>
      <c r="AH87" s="757"/>
      <c r="AI87" s="757"/>
      <c r="AJ87" s="10" t="s">
        <v>64</v>
      </c>
      <c r="AK87" s="536"/>
      <c r="AL87" s="536"/>
      <c r="AM87" s="1441"/>
      <c r="AN87" s="1441"/>
      <c r="AO87" s="731"/>
      <c r="AP87" s="731"/>
      <c r="AQ87" s="731"/>
      <c r="AR87" s="731"/>
      <c r="AS87" s="680"/>
      <c r="AT87" s="27"/>
      <c r="AU87" s="705"/>
      <c r="AV87" s="1019">
        <f t="shared" si="69"/>
        <v>0</v>
      </c>
      <c r="AW87" s="654"/>
    </row>
    <row r="88" spans="1:50" ht="30">
      <c r="A88" s="11" t="s">
        <v>65</v>
      </c>
      <c r="B88" s="552">
        <f t="shared" ref="B88:L88" si="79">B87</f>
        <v>0</v>
      </c>
      <c r="C88" s="552">
        <f>C87</f>
        <v>0</v>
      </c>
      <c r="D88" s="552">
        <f>D87</f>
        <v>0</v>
      </c>
      <c r="E88" s="552">
        <f t="shared" si="79"/>
        <v>0</v>
      </c>
      <c r="F88" s="28">
        <f t="shared" si="79"/>
        <v>0</v>
      </c>
      <c r="G88" s="537">
        <f t="shared" si="79"/>
        <v>0</v>
      </c>
      <c r="H88" s="889">
        <f t="shared" si="79"/>
        <v>0</v>
      </c>
      <c r="I88" s="915">
        <f t="shared" si="79"/>
        <v>0</v>
      </c>
      <c r="J88" s="863">
        <f t="shared" si="79"/>
        <v>0</v>
      </c>
      <c r="K88" s="812">
        <f t="shared" si="79"/>
        <v>0</v>
      </c>
      <c r="L88" s="941">
        <f t="shared" si="79"/>
        <v>0</v>
      </c>
      <c r="M88" s="552">
        <f t="shared" ref="M88:U88" si="80">M87</f>
        <v>0</v>
      </c>
      <c r="N88" s="552">
        <f t="shared" si="80"/>
        <v>0</v>
      </c>
      <c r="O88" s="552">
        <f t="shared" si="80"/>
        <v>0</v>
      </c>
      <c r="P88" s="552">
        <f t="shared" si="80"/>
        <v>0</v>
      </c>
      <c r="Q88" s="552">
        <f t="shared" si="80"/>
        <v>0</v>
      </c>
      <c r="R88" s="552">
        <f t="shared" si="80"/>
        <v>0</v>
      </c>
      <c r="S88" s="552">
        <f t="shared" si="80"/>
        <v>0</v>
      </c>
      <c r="T88" s="552">
        <f t="shared" si="80"/>
        <v>0</v>
      </c>
      <c r="U88" s="28">
        <f t="shared" si="80"/>
        <v>0</v>
      </c>
      <c r="V88" s="11" t="s">
        <v>65</v>
      </c>
      <c r="W88" s="537">
        <f>W87</f>
        <v>0</v>
      </c>
      <c r="X88" s="1470">
        <f t="shared" ref="X88:AR88" si="81">X87</f>
        <v>0</v>
      </c>
      <c r="Y88" s="967">
        <f t="shared" si="81"/>
        <v>0</v>
      </c>
      <c r="Z88" s="993">
        <f t="shared" si="81"/>
        <v>0</v>
      </c>
      <c r="AA88" s="1362">
        <f t="shared" si="81"/>
        <v>0</v>
      </c>
      <c r="AB88" s="786">
        <f t="shared" si="81"/>
        <v>0</v>
      </c>
      <c r="AC88" s="786">
        <f t="shared" si="81"/>
        <v>0</v>
      </c>
      <c r="AD88" s="1414">
        <f t="shared" si="81"/>
        <v>0</v>
      </c>
      <c r="AE88" s="1414">
        <f t="shared" si="81"/>
        <v>0</v>
      </c>
      <c r="AF88" s="1388">
        <f>AF87</f>
        <v>0</v>
      </c>
      <c r="AG88" s="1388">
        <f>AG87</f>
        <v>0</v>
      </c>
      <c r="AH88" s="756">
        <f>AH87</f>
        <v>0</v>
      </c>
      <c r="AI88" s="756">
        <f>AI87</f>
        <v>0</v>
      </c>
      <c r="AJ88" s="11" t="s">
        <v>65</v>
      </c>
      <c r="AK88" s="537">
        <f>AK87</f>
        <v>0</v>
      </c>
      <c r="AL88" s="537">
        <f>AL87</f>
        <v>0</v>
      </c>
      <c r="AM88" s="1440">
        <f>AM87</f>
        <v>0</v>
      </c>
      <c r="AN88" s="1440">
        <f>AN87</f>
        <v>0</v>
      </c>
      <c r="AO88" s="730">
        <f t="shared" si="81"/>
        <v>0</v>
      </c>
      <c r="AP88" s="730">
        <f t="shared" si="81"/>
        <v>0</v>
      </c>
      <c r="AQ88" s="730">
        <f>AQ87</f>
        <v>0</v>
      </c>
      <c r="AR88" s="730">
        <f t="shared" si="81"/>
        <v>0</v>
      </c>
      <c r="AS88" s="679"/>
      <c r="AT88" s="636">
        <f>AT87</f>
        <v>0</v>
      </c>
      <c r="AU88" s="704">
        <f>AU87</f>
        <v>0</v>
      </c>
      <c r="AV88" s="1019">
        <f t="shared" si="69"/>
        <v>0</v>
      </c>
      <c r="AW88" s="654"/>
    </row>
    <row r="89" spans="1:50" ht="15.75">
      <c r="A89" s="10" t="s">
        <v>66</v>
      </c>
      <c r="B89" s="549"/>
      <c r="C89" s="549"/>
      <c r="D89" s="549"/>
      <c r="E89" s="549"/>
      <c r="F89" s="23">
        <f>SUM(B89:E89)</f>
        <v>0</v>
      </c>
      <c r="G89" s="536"/>
      <c r="H89" s="890"/>
      <c r="I89" s="916"/>
      <c r="J89" s="864"/>
      <c r="K89" s="813"/>
      <c r="L89" s="942"/>
      <c r="M89" s="549"/>
      <c r="N89" s="549"/>
      <c r="O89" s="549"/>
      <c r="P89" s="549"/>
      <c r="Q89" s="549"/>
      <c r="R89" s="549"/>
      <c r="S89" s="549"/>
      <c r="T89" s="549"/>
      <c r="U89" s="23">
        <f>SUM(M89:T89)</f>
        <v>0</v>
      </c>
      <c r="V89" s="10" t="s">
        <v>66</v>
      </c>
      <c r="W89" s="536"/>
      <c r="X89" s="1471"/>
      <c r="Y89" s="968"/>
      <c r="Z89" s="994"/>
      <c r="AA89" s="1363"/>
      <c r="AB89" s="787"/>
      <c r="AC89" s="787"/>
      <c r="AD89" s="1415"/>
      <c r="AE89" s="1415"/>
      <c r="AF89" s="1389"/>
      <c r="AG89" s="1389"/>
      <c r="AH89" s="757"/>
      <c r="AI89" s="757"/>
      <c r="AJ89" s="10" t="s">
        <v>66</v>
      </c>
      <c r="AK89" s="536"/>
      <c r="AL89" s="536"/>
      <c r="AM89" s="1441"/>
      <c r="AN89" s="1441"/>
      <c r="AO89" s="731"/>
      <c r="AP89" s="731"/>
      <c r="AQ89" s="731"/>
      <c r="AR89" s="731"/>
      <c r="AS89" s="680"/>
      <c r="AT89" s="27"/>
      <c r="AU89" s="705"/>
      <c r="AV89" s="1019">
        <f t="shared" si="69"/>
        <v>0</v>
      </c>
      <c r="AW89" s="654"/>
    </row>
    <row r="90" spans="1:50" ht="15.75">
      <c r="A90" s="11" t="s">
        <v>67</v>
      </c>
      <c r="B90" s="552">
        <f t="shared" ref="B90:L90" si="82">B89</f>
        <v>0</v>
      </c>
      <c r="C90" s="552">
        <f>C89</f>
        <v>0</v>
      </c>
      <c r="D90" s="552">
        <f>D89</f>
        <v>0</v>
      </c>
      <c r="E90" s="552">
        <f t="shared" si="82"/>
        <v>0</v>
      </c>
      <c r="F90" s="28">
        <f t="shared" si="82"/>
        <v>0</v>
      </c>
      <c r="G90" s="537">
        <f t="shared" si="82"/>
        <v>0</v>
      </c>
      <c r="H90" s="889">
        <f t="shared" si="82"/>
        <v>0</v>
      </c>
      <c r="I90" s="915">
        <f t="shared" si="82"/>
        <v>0</v>
      </c>
      <c r="J90" s="863">
        <f t="shared" si="82"/>
        <v>0</v>
      </c>
      <c r="K90" s="812">
        <f t="shared" si="82"/>
        <v>0</v>
      </c>
      <c r="L90" s="941">
        <f t="shared" si="82"/>
        <v>0</v>
      </c>
      <c r="M90" s="552">
        <f t="shared" ref="M90:U90" si="83">M89</f>
        <v>0</v>
      </c>
      <c r="N90" s="552">
        <f t="shared" si="83"/>
        <v>0</v>
      </c>
      <c r="O90" s="552">
        <f t="shared" si="83"/>
        <v>0</v>
      </c>
      <c r="P90" s="552">
        <f t="shared" si="83"/>
        <v>0</v>
      </c>
      <c r="Q90" s="552">
        <f t="shared" si="83"/>
        <v>0</v>
      </c>
      <c r="R90" s="552">
        <f t="shared" si="83"/>
        <v>0</v>
      </c>
      <c r="S90" s="552">
        <f t="shared" si="83"/>
        <v>0</v>
      </c>
      <c r="T90" s="552">
        <f t="shared" si="83"/>
        <v>0</v>
      </c>
      <c r="U90" s="28">
        <f t="shared" si="83"/>
        <v>0</v>
      </c>
      <c r="V90" s="11" t="s">
        <v>67</v>
      </c>
      <c r="W90" s="537">
        <f>W89</f>
        <v>0</v>
      </c>
      <c r="X90" s="1470">
        <f t="shared" ref="X90:AR90" si="84">X89</f>
        <v>0</v>
      </c>
      <c r="Y90" s="967">
        <f t="shared" si="84"/>
        <v>0</v>
      </c>
      <c r="Z90" s="993">
        <f t="shared" si="84"/>
        <v>0</v>
      </c>
      <c r="AA90" s="1362">
        <f t="shared" si="84"/>
        <v>0</v>
      </c>
      <c r="AB90" s="786">
        <f t="shared" si="84"/>
        <v>0</v>
      </c>
      <c r="AC90" s="786">
        <f t="shared" si="84"/>
        <v>0</v>
      </c>
      <c r="AD90" s="1414">
        <f t="shared" si="84"/>
        <v>0</v>
      </c>
      <c r="AE90" s="1414">
        <f t="shared" si="84"/>
        <v>0</v>
      </c>
      <c r="AF90" s="1388">
        <f>AF89</f>
        <v>0</v>
      </c>
      <c r="AG90" s="1388">
        <f>AG89</f>
        <v>0</v>
      </c>
      <c r="AH90" s="756">
        <f>AH89</f>
        <v>0</v>
      </c>
      <c r="AI90" s="756">
        <f>AI89</f>
        <v>0</v>
      </c>
      <c r="AJ90" s="11" t="s">
        <v>67</v>
      </c>
      <c r="AK90" s="537">
        <f>AK89</f>
        <v>0</v>
      </c>
      <c r="AL90" s="537">
        <f>AL89</f>
        <v>0</v>
      </c>
      <c r="AM90" s="1440">
        <f>AM89</f>
        <v>0</v>
      </c>
      <c r="AN90" s="1440">
        <f>AN89</f>
        <v>0</v>
      </c>
      <c r="AO90" s="730">
        <f t="shared" si="84"/>
        <v>0</v>
      </c>
      <c r="AP90" s="730">
        <f t="shared" si="84"/>
        <v>0</v>
      </c>
      <c r="AQ90" s="730">
        <f>AQ89</f>
        <v>0</v>
      </c>
      <c r="AR90" s="730">
        <f t="shared" si="84"/>
        <v>0</v>
      </c>
      <c r="AS90" s="679"/>
      <c r="AT90" s="636">
        <f>AT89</f>
        <v>0</v>
      </c>
      <c r="AU90" s="704">
        <f>AU89</f>
        <v>0</v>
      </c>
      <c r="AV90" s="1019">
        <f t="shared" si="69"/>
        <v>0</v>
      </c>
      <c r="AW90" s="654"/>
    </row>
    <row r="91" spans="1:50" ht="30">
      <c r="A91" s="10" t="s">
        <v>68</v>
      </c>
      <c r="B91" s="549"/>
      <c r="C91" s="549"/>
      <c r="D91" s="549"/>
      <c r="E91" s="549"/>
      <c r="F91" s="23">
        <f>SUM(B91:E91)</f>
        <v>0</v>
      </c>
      <c r="G91" s="538"/>
      <c r="H91" s="884"/>
      <c r="I91" s="910"/>
      <c r="J91" s="858"/>
      <c r="K91" s="807"/>
      <c r="L91" s="936"/>
      <c r="M91" s="549"/>
      <c r="N91" s="549"/>
      <c r="O91" s="549"/>
      <c r="P91" s="549"/>
      <c r="Q91" s="549"/>
      <c r="R91" s="549"/>
      <c r="S91" s="549"/>
      <c r="T91" s="549"/>
      <c r="U91" s="23">
        <f>SUM(M91:T91)</f>
        <v>0</v>
      </c>
      <c r="V91" s="10" t="s">
        <v>68</v>
      </c>
      <c r="W91" s="538"/>
      <c r="X91" s="1465"/>
      <c r="Y91" s="962"/>
      <c r="Z91" s="988"/>
      <c r="AA91" s="1357"/>
      <c r="AB91" s="781"/>
      <c r="AC91" s="781"/>
      <c r="AD91" s="1409"/>
      <c r="AE91" s="1409"/>
      <c r="AF91" s="1383"/>
      <c r="AG91" s="1383"/>
      <c r="AH91" s="751"/>
      <c r="AI91" s="751"/>
      <c r="AJ91" s="10" t="s">
        <v>68</v>
      </c>
      <c r="AK91" s="538"/>
      <c r="AL91" s="538"/>
      <c r="AM91" s="1435"/>
      <c r="AN91" s="1435"/>
      <c r="AO91" s="725"/>
      <c r="AP91" s="725"/>
      <c r="AQ91" s="725"/>
      <c r="AR91" s="725"/>
      <c r="AS91" s="680"/>
      <c r="AT91" s="27"/>
      <c r="AU91" s="699"/>
      <c r="AV91" s="1019">
        <f t="shared" si="69"/>
        <v>0</v>
      </c>
      <c r="AW91" s="654"/>
    </row>
    <row r="92" spans="1:50" ht="30">
      <c r="A92" s="11" t="s">
        <v>69</v>
      </c>
      <c r="B92" s="552">
        <f t="shared" ref="B92:L92" si="85">B91</f>
        <v>0</v>
      </c>
      <c r="C92" s="552">
        <f>C91</f>
        <v>0</v>
      </c>
      <c r="D92" s="552">
        <f>D91</f>
        <v>0</v>
      </c>
      <c r="E92" s="552">
        <f t="shared" si="85"/>
        <v>0</v>
      </c>
      <c r="F92" s="28">
        <f t="shared" si="85"/>
        <v>0</v>
      </c>
      <c r="G92" s="537">
        <f t="shared" si="85"/>
        <v>0</v>
      </c>
      <c r="H92" s="889">
        <f t="shared" si="85"/>
        <v>0</v>
      </c>
      <c r="I92" s="915">
        <f t="shared" si="85"/>
        <v>0</v>
      </c>
      <c r="J92" s="863">
        <f t="shared" si="85"/>
        <v>0</v>
      </c>
      <c r="K92" s="812">
        <f t="shared" si="85"/>
        <v>0</v>
      </c>
      <c r="L92" s="941">
        <f t="shared" si="85"/>
        <v>0</v>
      </c>
      <c r="M92" s="552">
        <f t="shared" ref="M92:U92" si="86">M91</f>
        <v>0</v>
      </c>
      <c r="N92" s="552">
        <f t="shared" si="86"/>
        <v>0</v>
      </c>
      <c r="O92" s="552">
        <f t="shared" si="86"/>
        <v>0</v>
      </c>
      <c r="P92" s="552">
        <f t="shared" si="86"/>
        <v>0</v>
      </c>
      <c r="Q92" s="552">
        <f t="shared" si="86"/>
        <v>0</v>
      </c>
      <c r="R92" s="552">
        <f t="shared" si="86"/>
        <v>0</v>
      </c>
      <c r="S92" s="552">
        <f t="shared" si="86"/>
        <v>0</v>
      </c>
      <c r="T92" s="552">
        <f t="shared" si="86"/>
        <v>0</v>
      </c>
      <c r="U92" s="28">
        <f t="shared" si="86"/>
        <v>0</v>
      </c>
      <c r="V92" s="11" t="s">
        <v>69</v>
      </c>
      <c r="W92" s="537">
        <f>W91</f>
        <v>0</v>
      </c>
      <c r="X92" s="1470">
        <f t="shared" ref="X92:AR92" si="87">X91</f>
        <v>0</v>
      </c>
      <c r="Y92" s="967">
        <f t="shared" si="87"/>
        <v>0</v>
      </c>
      <c r="Z92" s="993">
        <f t="shared" si="87"/>
        <v>0</v>
      </c>
      <c r="AA92" s="1362">
        <f t="shared" si="87"/>
        <v>0</v>
      </c>
      <c r="AB92" s="786">
        <f t="shared" si="87"/>
        <v>0</v>
      </c>
      <c r="AC92" s="786">
        <f t="shared" si="87"/>
        <v>0</v>
      </c>
      <c r="AD92" s="1414">
        <f t="shared" si="87"/>
        <v>0</v>
      </c>
      <c r="AE92" s="1414">
        <f t="shared" si="87"/>
        <v>0</v>
      </c>
      <c r="AF92" s="1388">
        <f>AF91</f>
        <v>0</v>
      </c>
      <c r="AG92" s="1388">
        <f>AG91</f>
        <v>0</v>
      </c>
      <c r="AH92" s="756">
        <f>AH91</f>
        <v>0</v>
      </c>
      <c r="AI92" s="756">
        <f>AI91</f>
        <v>0</v>
      </c>
      <c r="AJ92" s="11" t="s">
        <v>69</v>
      </c>
      <c r="AK92" s="537">
        <f>AK91</f>
        <v>0</v>
      </c>
      <c r="AL92" s="537">
        <f>AL91</f>
        <v>0</v>
      </c>
      <c r="AM92" s="1440">
        <f>AM91</f>
        <v>0</v>
      </c>
      <c r="AN92" s="1440">
        <f>AN91</f>
        <v>0</v>
      </c>
      <c r="AO92" s="730">
        <f t="shared" si="87"/>
        <v>0</v>
      </c>
      <c r="AP92" s="730">
        <f t="shared" si="87"/>
        <v>0</v>
      </c>
      <c r="AQ92" s="730">
        <f>AQ91</f>
        <v>0</v>
      </c>
      <c r="AR92" s="730">
        <f t="shared" si="87"/>
        <v>0</v>
      </c>
      <c r="AS92" s="679"/>
      <c r="AT92" s="636">
        <f>AT91</f>
        <v>0</v>
      </c>
      <c r="AU92" s="704">
        <f>AU91</f>
        <v>0</v>
      </c>
      <c r="AV92" s="1019">
        <f t="shared" si="69"/>
        <v>0</v>
      </c>
      <c r="AW92" s="654"/>
    </row>
    <row r="93" spans="1:50" ht="15.75">
      <c r="A93" s="10" t="s">
        <v>70</v>
      </c>
      <c r="B93" s="549"/>
      <c r="C93" s="549"/>
      <c r="D93" s="549"/>
      <c r="E93" s="549"/>
      <c r="F93" s="23">
        <f>SUM(B93:E93)</f>
        <v>0</v>
      </c>
      <c r="G93" s="536"/>
      <c r="H93" s="890"/>
      <c r="I93" s="916"/>
      <c r="J93" s="864"/>
      <c r="K93" s="813"/>
      <c r="L93" s="942"/>
      <c r="M93" s="549"/>
      <c r="N93" s="549"/>
      <c r="O93" s="549"/>
      <c r="P93" s="549"/>
      <c r="Q93" s="549"/>
      <c r="R93" s="549"/>
      <c r="S93" s="549"/>
      <c r="T93" s="549"/>
      <c r="U93" s="23">
        <f>SUM(M93:T93)</f>
        <v>0</v>
      </c>
      <c r="V93" s="10" t="s">
        <v>70</v>
      </c>
      <c r="W93" s="536"/>
      <c r="X93" s="1471"/>
      <c r="Y93" s="968"/>
      <c r="Z93" s="994"/>
      <c r="AA93" s="1363"/>
      <c r="AB93" s="787"/>
      <c r="AC93" s="787"/>
      <c r="AD93" s="1415"/>
      <c r="AE93" s="1415"/>
      <c r="AF93" s="1389"/>
      <c r="AG93" s="1389"/>
      <c r="AH93" s="757"/>
      <c r="AI93" s="757"/>
      <c r="AJ93" s="10" t="s">
        <v>70</v>
      </c>
      <c r="AK93" s="536"/>
      <c r="AL93" s="536"/>
      <c r="AM93" s="1441"/>
      <c r="AN93" s="1441"/>
      <c r="AO93" s="731"/>
      <c r="AP93" s="731"/>
      <c r="AQ93" s="731"/>
      <c r="AR93" s="731">
        <v>200000</v>
      </c>
      <c r="AS93" s="680"/>
      <c r="AT93" s="27"/>
      <c r="AU93" s="705"/>
      <c r="AV93" s="1019">
        <f t="shared" si="69"/>
        <v>200000</v>
      </c>
      <c r="AW93" s="654"/>
    </row>
    <row r="94" spans="1:50" ht="60">
      <c r="A94" s="10" t="s">
        <v>71</v>
      </c>
      <c r="B94" s="549"/>
      <c r="C94" s="549"/>
      <c r="D94" s="549"/>
      <c r="E94" s="549"/>
      <c r="F94" s="23">
        <f>SUM(B94:E94)</f>
        <v>0</v>
      </c>
      <c r="G94" s="536"/>
      <c r="H94" s="890"/>
      <c r="I94" s="916"/>
      <c r="J94" s="864"/>
      <c r="K94" s="813"/>
      <c r="L94" s="942"/>
      <c r="M94" s="549"/>
      <c r="N94" s="549"/>
      <c r="O94" s="549"/>
      <c r="P94" s="549"/>
      <c r="Q94" s="549"/>
      <c r="R94" s="549"/>
      <c r="S94" s="549"/>
      <c r="T94" s="549"/>
      <c r="U94" s="23">
        <f>SUM(M94:T94)</f>
        <v>0</v>
      </c>
      <c r="V94" s="10" t="s">
        <v>71</v>
      </c>
      <c r="W94" s="536"/>
      <c r="X94" s="1471"/>
      <c r="Y94" s="968"/>
      <c r="Z94" s="994"/>
      <c r="AA94" s="1363"/>
      <c r="AB94" s="787"/>
      <c r="AC94" s="787"/>
      <c r="AD94" s="1415"/>
      <c r="AE94" s="1415"/>
      <c r="AF94" s="1389"/>
      <c r="AG94" s="1389"/>
      <c r="AH94" s="757"/>
      <c r="AI94" s="757"/>
      <c r="AJ94" s="10" t="s">
        <v>71</v>
      </c>
      <c r="AK94" s="536"/>
      <c r="AL94" s="536"/>
      <c r="AM94" s="1441"/>
      <c r="AN94" s="1441"/>
      <c r="AO94" s="731"/>
      <c r="AP94" s="731"/>
      <c r="AQ94" s="731"/>
      <c r="AR94" s="731">
        <f>200000+500000</f>
        <v>700000</v>
      </c>
      <c r="AS94" s="680"/>
      <c r="AT94" s="27"/>
      <c r="AU94" s="705"/>
      <c r="AV94" s="1019">
        <f t="shared" si="69"/>
        <v>700000</v>
      </c>
      <c r="AW94" s="654"/>
    </row>
    <row r="95" spans="1:50" ht="45">
      <c r="A95" s="10" t="s">
        <v>72</v>
      </c>
      <c r="B95" s="549"/>
      <c r="C95" s="549"/>
      <c r="D95" s="549"/>
      <c r="E95" s="549"/>
      <c r="F95" s="23">
        <f>SUM(B95:E95)</f>
        <v>0</v>
      </c>
      <c r="G95" s="536"/>
      <c r="H95" s="890"/>
      <c r="I95" s="916"/>
      <c r="J95" s="864"/>
      <c r="K95" s="813"/>
      <c r="L95" s="942"/>
      <c r="M95" s="549"/>
      <c r="N95" s="549"/>
      <c r="O95" s="549"/>
      <c r="P95" s="549"/>
      <c r="Q95" s="549"/>
      <c r="R95" s="549"/>
      <c r="S95" s="549"/>
      <c r="T95" s="549"/>
      <c r="U95" s="23">
        <f>SUM(M95:T95)</f>
        <v>0</v>
      </c>
      <c r="V95" s="10" t="s">
        <v>72</v>
      </c>
      <c r="W95" s="536"/>
      <c r="X95" s="1471"/>
      <c r="Y95" s="968"/>
      <c r="Z95" s="994"/>
      <c r="AA95" s="1363"/>
      <c r="AB95" s="787"/>
      <c r="AC95" s="787"/>
      <c r="AD95" s="1415"/>
      <c r="AE95" s="1415"/>
      <c r="AF95" s="1389"/>
      <c r="AG95" s="1389"/>
      <c r="AH95" s="757"/>
      <c r="AI95" s="757"/>
      <c r="AJ95" s="10" t="s">
        <v>72</v>
      </c>
      <c r="AK95" s="536"/>
      <c r="AL95" s="536"/>
      <c r="AM95" s="1441"/>
      <c r="AN95" s="1441"/>
      <c r="AO95" s="731"/>
      <c r="AP95" s="731"/>
      <c r="AQ95" s="731"/>
      <c r="AR95" s="731">
        <f>1000000+850000+100000</f>
        <v>1950000</v>
      </c>
      <c r="AS95" s="680"/>
      <c r="AT95" s="27"/>
      <c r="AU95" s="705"/>
      <c r="AV95" s="1019">
        <f t="shared" si="69"/>
        <v>1950000</v>
      </c>
      <c r="AW95" s="654"/>
    </row>
    <row r="96" spans="1:50" ht="15.75">
      <c r="A96" s="11" t="s">
        <v>73</v>
      </c>
      <c r="B96" s="552">
        <f t="shared" ref="B96:L96" si="88">SUM(B93:B95)</f>
        <v>0</v>
      </c>
      <c r="C96" s="552">
        <f>SUM(C93:C95)</f>
        <v>0</v>
      </c>
      <c r="D96" s="552">
        <f>SUM(D93:D95)</f>
        <v>0</v>
      </c>
      <c r="E96" s="552">
        <f t="shared" si="88"/>
        <v>0</v>
      </c>
      <c r="F96" s="28">
        <f t="shared" si="88"/>
        <v>0</v>
      </c>
      <c r="G96" s="537">
        <f t="shared" si="88"/>
        <v>0</v>
      </c>
      <c r="H96" s="889">
        <f t="shared" si="88"/>
        <v>0</v>
      </c>
      <c r="I96" s="915">
        <f t="shared" si="88"/>
        <v>0</v>
      </c>
      <c r="J96" s="863">
        <f t="shared" si="88"/>
        <v>0</v>
      </c>
      <c r="K96" s="812">
        <f t="shared" si="88"/>
        <v>0</v>
      </c>
      <c r="L96" s="941">
        <f t="shared" si="88"/>
        <v>0</v>
      </c>
      <c r="M96" s="552">
        <f t="shared" ref="M96:U96" si="89">SUM(M93:M95)</f>
        <v>0</v>
      </c>
      <c r="N96" s="552">
        <f t="shared" si="89"/>
        <v>0</v>
      </c>
      <c r="O96" s="552">
        <f t="shared" si="89"/>
        <v>0</v>
      </c>
      <c r="P96" s="552">
        <f t="shared" si="89"/>
        <v>0</v>
      </c>
      <c r="Q96" s="552">
        <f t="shared" si="89"/>
        <v>0</v>
      </c>
      <c r="R96" s="552">
        <f t="shared" si="89"/>
        <v>0</v>
      </c>
      <c r="S96" s="552">
        <f t="shared" si="89"/>
        <v>0</v>
      </c>
      <c r="T96" s="552">
        <f t="shared" si="89"/>
        <v>0</v>
      </c>
      <c r="U96" s="28">
        <f t="shared" si="89"/>
        <v>0</v>
      </c>
      <c r="V96" s="11" t="s">
        <v>73</v>
      </c>
      <c r="W96" s="537">
        <f>SUM(W93:W95)</f>
        <v>0</v>
      </c>
      <c r="X96" s="1470">
        <f t="shared" ref="X96:AR96" si="90">SUM(X93:X95)</f>
        <v>0</v>
      </c>
      <c r="Y96" s="967">
        <f t="shared" si="90"/>
        <v>0</v>
      </c>
      <c r="Z96" s="993">
        <f t="shared" si="90"/>
        <v>0</v>
      </c>
      <c r="AA96" s="1362">
        <f t="shared" si="90"/>
        <v>0</v>
      </c>
      <c r="AB96" s="786">
        <f t="shared" si="90"/>
        <v>0</v>
      </c>
      <c r="AC96" s="786">
        <f t="shared" si="90"/>
        <v>0</v>
      </c>
      <c r="AD96" s="1414">
        <f t="shared" si="90"/>
        <v>0</v>
      </c>
      <c r="AE96" s="1414">
        <f t="shared" si="90"/>
        <v>0</v>
      </c>
      <c r="AF96" s="1388">
        <f>SUM(AF93:AF95)</f>
        <v>0</v>
      </c>
      <c r="AG96" s="1388">
        <f>SUM(AG93:AG95)</f>
        <v>0</v>
      </c>
      <c r="AH96" s="756">
        <f>SUM(AH93:AH95)</f>
        <v>0</v>
      </c>
      <c r="AI96" s="756">
        <f>SUM(AI93:AI95)</f>
        <v>0</v>
      </c>
      <c r="AJ96" s="11" t="s">
        <v>73</v>
      </c>
      <c r="AK96" s="537">
        <f>SUM(AK93:AK95)</f>
        <v>0</v>
      </c>
      <c r="AL96" s="537">
        <f>SUM(AL93:AL95)</f>
        <v>0</v>
      </c>
      <c r="AM96" s="1440">
        <f>SUM(AM93:AM95)</f>
        <v>0</v>
      </c>
      <c r="AN96" s="1440">
        <f>SUM(AN93:AN95)</f>
        <v>0</v>
      </c>
      <c r="AO96" s="730">
        <f t="shared" si="90"/>
        <v>0</v>
      </c>
      <c r="AP96" s="730">
        <f t="shared" si="90"/>
        <v>0</v>
      </c>
      <c r="AQ96" s="730">
        <f>SUM(AQ93:AQ95)</f>
        <v>0</v>
      </c>
      <c r="AR96" s="730">
        <f t="shared" si="90"/>
        <v>2850000</v>
      </c>
      <c r="AS96" s="679"/>
      <c r="AT96" s="636">
        <f>SUM(AT93:AT95)</f>
        <v>0</v>
      </c>
      <c r="AU96" s="704">
        <f>SUM(AU93:AU95)</f>
        <v>0</v>
      </c>
      <c r="AV96" s="1019">
        <f t="shared" si="69"/>
        <v>2850000</v>
      </c>
      <c r="AW96" s="654"/>
    </row>
    <row r="97" spans="1:49" ht="16.5" thickBot="1">
      <c r="A97" s="15" t="s">
        <v>74</v>
      </c>
      <c r="B97" s="553">
        <f t="shared" ref="B97:L97" si="91">B84+B86+B88+B90+B92+B96</f>
        <v>0</v>
      </c>
      <c r="C97" s="553">
        <f>C84+C86+C88+C90+C92+C96</f>
        <v>0</v>
      </c>
      <c r="D97" s="553">
        <f>D84+D86+D88+D90+D92+D96</f>
        <v>0</v>
      </c>
      <c r="E97" s="553">
        <f t="shared" si="91"/>
        <v>0</v>
      </c>
      <c r="F97" s="29">
        <f t="shared" si="91"/>
        <v>0</v>
      </c>
      <c r="G97" s="688">
        <f t="shared" si="91"/>
        <v>0</v>
      </c>
      <c r="H97" s="891">
        <f t="shared" si="91"/>
        <v>0</v>
      </c>
      <c r="I97" s="917">
        <f t="shared" si="91"/>
        <v>0</v>
      </c>
      <c r="J97" s="865">
        <f t="shared" si="91"/>
        <v>0</v>
      </c>
      <c r="K97" s="814">
        <f t="shared" si="91"/>
        <v>0</v>
      </c>
      <c r="L97" s="943">
        <f t="shared" si="91"/>
        <v>0</v>
      </c>
      <c r="M97" s="553">
        <f t="shared" ref="M97:U97" si="92">M84+M86+M88+M90+M92+M96</f>
        <v>0</v>
      </c>
      <c r="N97" s="553">
        <f t="shared" si="92"/>
        <v>0</v>
      </c>
      <c r="O97" s="553">
        <f t="shared" si="92"/>
        <v>0</v>
      </c>
      <c r="P97" s="553">
        <f t="shared" si="92"/>
        <v>0</v>
      </c>
      <c r="Q97" s="553">
        <f t="shared" si="92"/>
        <v>0</v>
      </c>
      <c r="R97" s="553">
        <f t="shared" si="92"/>
        <v>0</v>
      </c>
      <c r="S97" s="553">
        <f t="shared" si="92"/>
        <v>0</v>
      </c>
      <c r="T97" s="553">
        <f t="shared" si="92"/>
        <v>0</v>
      </c>
      <c r="U97" s="29">
        <f t="shared" si="92"/>
        <v>0</v>
      </c>
      <c r="V97" s="15" t="s">
        <v>74</v>
      </c>
      <c r="W97" s="688">
        <f>W84+W86+W88+W90+W92+W96</f>
        <v>0</v>
      </c>
      <c r="X97" s="1472">
        <f t="shared" ref="X97:AR97" si="93">X84+X86+X88+X90+X92+X96</f>
        <v>0</v>
      </c>
      <c r="Y97" s="969">
        <f t="shared" si="93"/>
        <v>0</v>
      </c>
      <c r="Z97" s="995">
        <f t="shared" si="93"/>
        <v>0</v>
      </c>
      <c r="AA97" s="1364">
        <f t="shared" si="93"/>
        <v>0</v>
      </c>
      <c r="AB97" s="788">
        <f t="shared" si="93"/>
        <v>0</v>
      </c>
      <c r="AC97" s="788">
        <f t="shared" si="93"/>
        <v>0</v>
      </c>
      <c r="AD97" s="1416">
        <f t="shared" si="93"/>
        <v>0</v>
      </c>
      <c r="AE97" s="1416">
        <f t="shared" si="93"/>
        <v>0</v>
      </c>
      <c r="AF97" s="1390">
        <f>AF84+AF86+AF88+AF90+AF92+AF96</f>
        <v>0</v>
      </c>
      <c r="AG97" s="1390">
        <f>AG84+AG86+AG88+AG90+AG92+AG96</f>
        <v>0</v>
      </c>
      <c r="AH97" s="758">
        <f>AH84+AH86+AH88+AH90+AH92+AH96</f>
        <v>0</v>
      </c>
      <c r="AI97" s="758">
        <f>AI84+AI86+AI88+AI90+AI92+AI96</f>
        <v>0</v>
      </c>
      <c r="AJ97" s="15" t="s">
        <v>74</v>
      </c>
      <c r="AK97" s="688">
        <f>AK84+AK86+AK88+AK90+AK92+AK96</f>
        <v>0</v>
      </c>
      <c r="AL97" s="688">
        <f>AL84+AL86+AL88+AL90+AL92+AL96</f>
        <v>0</v>
      </c>
      <c r="AM97" s="1442">
        <f>AM84+AM86+AM88+AM90+AM92+AM96</f>
        <v>0</v>
      </c>
      <c r="AN97" s="1442">
        <f>AN84+AN86+AN88+AN90+AN92+AN96</f>
        <v>0</v>
      </c>
      <c r="AO97" s="732">
        <f t="shared" si="93"/>
        <v>0</v>
      </c>
      <c r="AP97" s="732">
        <f t="shared" si="93"/>
        <v>0</v>
      </c>
      <c r="AQ97" s="732">
        <f>AQ84+AQ86+AQ88+AQ90+AQ92+AQ96</f>
        <v>0</v>
      </c>
      <c r="AR97" s="732">
        <f t="shared" si="93"/>
        <v>2850000</v>
      </c>
      <c r="AS97" s="681"/>
      <c r="AT97" s="637">
        <f>AT84+AT86+AT88+AT90+AT92+AT96</f>
        <v>0</v>
      </c>
      <c r="AU97" s="706">
        <f>AU84+AU86+AU88+AU90+AU92+AU96</f>
        <v>0</v>
      </c>
      <c r="AV97" s="1519">
        <f t="shared" si="69"/>
        <v>2850000</v>
      </c>
      <c r="AW97" s="654"/>
    </row>
    <row r="98" spans="1:49" ht="76.5" customHeight="1">
      <c r="A98" s="1733" t="s">
        <v>673</v>
      </c>
      <c r="B98" s="1724" t="s">
        <v>158</v>
      </c>
      <c r="C98" s="1725"/>
      <c r="D98" s="1725"/>
      <c r="E98" s="1725"/>
      <c r="F98" s="1726"/>
      <c r="G98" s="1703" t="s">
        <v>618</v>
      </c>
      <c r="H98" s="1734" t="s">
        <v>726</v>
      </c>
      <c r="I98" s="1736" t="s">
        <v>727</v>
      </c>
      <c r="J98" s="1738" t="s">
        <v>637</v>
      </c>
      <c r="K98" s="1744" t="s">
        <v>616</v>
      </c>
      <c r="L98" s="1746" t="s">
        <v>617</v>
      </c>
      <c r="M98" s="1724" t="s">
        <v>656</v>
      </c>
      <c r="N98" s="1725"/>
      <c r="O98" s="1725"/>
      <c r="P98" s="1725"/>
      <c r="Q98" s="1725"/>
      <c r="R98" s="1725"/>
      <c r="S98" s="1725"/>
      <c r="T98" s="1725"/>
      <c r="U98" s="1726"/>
      <c r="V98" s="1733" t="s">
        <v>673</v>
      </c>
      <c r="W98" s="1703" t="s">
        <v>707</v>
      </c>
      <c r="X98" s="1740" t="s">
        <v>754</v>
      </c>
      <c r="Y98" s="1742" t="s">
        <v>619</v>
      </c>
      <c r="Z98" s="1705" t="s">
        <v>721</v>
      </c>
      <c r="AA98" s="1707" t="s">
        <v>723</v>
      </c>
      <c r="AB98" s="1729" t="s">
        <v>719</v>
      </c>
      <c r="AC98" s="1729" t="s">
        <v>622</v>
      </c>
      <c r="AD98" s="1731" t="s">
        <v>620</v>
      </c>
      <c r="AE98" s="1731" t="s">
        <v>621</v>
      </c>
      <c r="AF98" s="1709" t="s">
        <v>711</v>
      </c>
      <c r="AG98" s="1709" t="s">
        <v>712</v>
      </c>
      <c r="AH98" s="1722" t="s">
        <v>708</v>
      </c>
      <c r="AI98" s="1722" t="s">
        <v>615</v>
      </c>
      <c r="AJ98" s="1733" t="s">
        <v>673</v>
      </c>
      <c r="AK98" s="1703" t="s">
        <v>623</v>
      </c>
      <c r="AL98" s="1703" t="s">
        <v>728</v>
      </c>
      <c r="AM98" s="1701" t="s">
        <v>729</v>
      </c>
      <c r="AN98" s="1701" t="s">
        <v>730</v>
      </c>
      <c r="AO98" s="1720" t="s">
        <v>624</v>
      </c>
      <c r="AP98" s="1720" t="s">
        <v>639</v>
      </c>
      <c r="AQ98" s="1720" t="s">
        <v>720</v>
      </c>
      <c r="AR98" s="1720" t="s">
        <v>625</v>
      </c>
      <c r="AS98" s="1749" t="s">
        <v>614</v>
      </c>
      <c r="AT98" s="1750"/>
      <c r="AU98" s="1727" t="s">
        <v>626</v>
      </c>
      <c r="AV98" s="1748" t="s">
        <v>12</v>
      </c>
    </row>
    <row r="99" spans="1:49" ht="60.75" thickBot="1">
      <c r="A99" s="1715"/>
      <c r="B99" s="613" t="s">
        <v>716</v>
      </c>
      <c r="C99" s="613" t="s">
        <v>718</v>
      </c>
      <c r="D99" s="613" t="s">
        <v>724</v>
      </c>
      <c r="E99" s="613" t="s">
        <v>177</v>
      </c>
      <c r="F99" s="614" t="s">
        <v>12</v>
      </c>
      <c r="G99" s="1704"/>
      <c r="H99" s="1735"/>
      <c r="I99" s="1737"/>
      <c r="J99" s="1739"/>
      <c r="K99" s="1745"/>
      <c r="L99" s="1747"/>
      <c r="M99" s="613" t="s">
        <v>709</v>
      </c>
      <c r="N99" s="613" t="s">
        <v>713</v>
      </c>
      <c r="O99" s="613" t="s">
        <v>714</v>
      </c>
      <c r="P99" s="613" t="s">
        <v>715</v>
      </c>
      <c r="Q99" s="613" t="s">
        <v>717</v>
      </c>
      <c r="R99" s="613" t="s">
        <v>722</v>
      </c>
      <c r="S99" s="613" t="s">
        <v>725</v>
      </c>
      <c r="T99" s="613" t="s">
        <v>177</v>
      </c>
      <c r="U99" s="614" t="s">
        <v>12</v>
      </c>
      <c r="V99" s="1715"/>
      <c r="W99" s="1704"/>
      <c r="X99" s="1741"/>
      <c r="Y99" s="1743"/>
      <c r="Z99" s="1706"/>
      <c r="AA99" s="1708"/>
      <c r="AB99" s="1730"/>
      <c r="AC99" s="1730"/>
      <c r="AD99" s="1732"/>
      <c r="AE99" s="1732"/>
      <c r="AF99" s="1710"/>
      <c r="AG99" s="1710"/>
      <c r="AH99" s="1723"/>
      <c r="AI99" s="1723"/>
      <c r="AJ99" s="1715"/>
      <c r="AK99" s="1704"/>
      <c r="AL99" s="1704"/>
      <c r="AM99" s="1702"/>
      <c r="AN99" s="1702"/>
      <c r="AO99" s="1721"/>
      <c r="AP99" s="1721"/>
      <c r="AQ99" s="1721"/>
      <c r="AR99" s="1721"/>
      <c r="AS99" s="662" t="s">
        <v>608</v>
      </c>
      <c r="AT99" s="625" t="s">
        <v>12</v>
      </c>
      <c r="AU99" s="1728"/>
      <c r="AV99" s="1719"/>
      <c r="AW99" s="652"/>
    </row>
    <row r="100" spans="1:49" ht="30">
      <c r="A100" s="16" t="s">
        <v>75</v>
      </c>
      <c r="B100" s="554"/>
      <c r="C100" s="554"/>
      <c r="D100" s="554"/>
      <c r="E100" s="554"/>
      <c r="F100" s="22">
        <f>SUM(B100:E100)</f>
        <v>0</v>
      </c>
      <c r="G100" s="539"/>
      <c r="H100" s="892"/>
      <c r="I100" s="918"/>
      <c r="J100" s="866"/>
      <c r="K100" s="815"/>
      <c r="L100" s="944"/>
      <c r="M100" s="554"/>
      <c r="N100" s="554"/>
      <c r="O100" s="554"/>
      <c r="P100" s="554"/>
      <c r="Q100" s="554"/>
      <c r="R100" s="554"/>
      <c r="S100" s="554"/>
      <c r="T100" s="554"/>
      <c r="U100" s="22">
        <f>SUM(M100:T100)</f>
        <v>0</v>
      </c>
      <c r="V100" s="16" t="s">
        <v>75</v>
      </c>
      <c r="W100" s="539"/>
      <c r="X100" s="1473"/>
      <c r="Y100" s="970"/>
      <c r="Z100" s="996"/>
      <c r="AA100" s="1365"/>
      <c r="AB100" s="789"/>
      <c r="AC100" s="789"/>
      <c r="AD100" s="1417"/>
      <c r="AE100" s="1417"/>
      <c r="AF100" s="1391"/>
      <c r="AG100" s="1391"/>
      <c r="AH100" s="759"/>
      <c r="AI100" s="759"/>
      <c r="AJ100" s="16" t="s">
        <v>75</v>
      </c>
      <c r="AK100" s="539"/>
      <c r="AL100" s="539"/>
      <c r="AM100" s="1443"/>
      <c r="AN100" s="1443"/>
      <c r="AO100" s="733"/>
      <c r="AP100" s="733"/>
      <c r="AQ100" s="733"/>
      <c r="AR100" s="733"/>
      <c r="AS100" s="682"/>
      <c r="AT100" s="638"/>
      <c r="AU100" s="707"/>
      <c r="AV100" s="25">
        <f t="shared" si="69"/>
        <v>0</v>
      </c>
      <c r="AW100" s="654"/>
    </row>
    <row r="101" spans="1:49" ht="30">
      <c r="A101" s="10" t="s">
        <v>76</v>
      </c>
      <c r="B101" s="549"/>
      <c r="C101" s="549"/>
      <c r="D101" s="549"/>
      <c r="E101" s="549"/>
      <c r="F101" s="23"/>
      <c r="G101" s="536"/>
      <c r="H101" s="890"/>
      <c r="I101" s="916"/>
      <c r="J101" s="864"/>
      <c r="K101" s="813"/>
      <c r="L101" s="942"/>
      <c r="M101" s="549"/>
      <c r="N101" s="549"/>
      <c r="O101" s="549"/>
      <c r="P101" s="549"/>
      <c r="Q101" s="549"/>
      <c r="R101" s="549"/>
      <c r="S101" s="549"/>
      <c r="T101" s="549"/>
      <c r="U101" s="23"/>
      <c r="V101" s="10" t="s">
        <v>76</v>
      </c>
      <c r="W101" s="536"/>
      <c r="X101" s="1471"/>
      <c r="Y101" s="968"/>
      <c r="Z101" s="994"/>
      <c r="AA101" s="1363"/>
      <c r="AB101" s="787"/>
      <c r="AC101" s="787"/>
      <c r="AD101" s="1415"/>
      <c r="AE101" s="1415"/>
      <c r="AF101" s="1389"/>
      <c r="AG101" s="1389"/>
      <c r="AH101" s="757"/>
      <c r="AI101" s="757"/>
      <c r="AJ101" s="10" t="s">
        <v>76</v>
      </c>
      <c r="AK101" s="536"/>
      <c r="AL101" s="536"/>
      <c r="AM101" s="1441"/>
      <c r="AN101" s="1441"/>
      <c r="AO101" s="731"/>
      <c r="AP101" s="731"/>
      <c r="AQ101" s="731"/>
      <c r="AR101" s="731"/>
      <c r="AS101" s="680"/>
      <c r="AT101" s="27"/>
      <c r="AU101" s="705"/>
      <c r="AV101" s="1019">
        <f t="shared" si="69"/>
        <v>0</v>
      </c>
      <c r="AW101" s="654"/>
    </row>
    <row r="102" spans="1:49" ht="45">
      <c r="A102" s="10" t="s">
        <v>753</v>
      </c>
      <c r="B102" s="549"/>
      <c r="C102" s="549"/>
      <c r="D102" s="549"/>
      <c r="E102" s="549"/>
      <c r="F102" s="23">
        <f>SUM(B102:E102)</f>
        <v>0</v>
      </c>
      <c r="G102" s="536"/>
      <c r="H102" s="890"/>
      <c r="I102" s="916"/>
      <c r="J102" s="864"/>
      <c r="K102" s="813"/>
      <c r="L102" s="942"/>
      <c r="M102" s="549"/>
      <c r="N102" s="549"/>
      <c r="O102" s="549"/>
      <c r="P102" s="549"/>
      <c r="Q102" s="549"/>
      <c r="R102" s="549"/>
      <c r="S102" s="549"/>
      <c r="T102" s="549"/>
      <c r="U102" s="23">
        <f>SUM(M102:T102)</f>
        <v>0</v>
      </c>
      <c r="V102" s="10" t="s">
        <v>77</v>
      </c>
      <c r="W102" s="536"/>
      <c r="X102" s="1471"/>
      <c r="Y102" s="968"/>
      <c r="Z102" s="994"/>
      <c r="AA102" s="1363"/>
      <c r="AB102" s="787"/>
      <c r="AC102" s="787"/>
      <c r="AD102" s="1415"/>
      <c r="AE102" s="1415"/>
      <c r="AF102" s="1389"/>
      <c r="AG102" s="1389"/>
      <c r="AH102" s="757"/>
      <c r="AI102" s="757"/>
      <c r="AJ102" s="10" t="s">
        <v>77</v>
      </c>
      <c r="AK102" s="536"/>
      <c r="AL102" s="536"/>
      <c r="AM102" s="1441"/>
      <c r="AN102" s="1441"/>
      <c r="AO102" s="731"/>
      <c r="AP102" s="731"/>
      <c r="AQ102" s="731"/>
      <c r="AR102" s="731"/>
      <c r="AS102" s="680"/>
      <c r="AT102" s="27"/>
      <c r="AU102" s="705"/>
      <c r="AV102" s="1019">
        <f t="shared" si="69"/>
        <v>0</v>
      </c>
      <c r="AW102" s="654"/>
    </row>
    <row r="103" spans="1:49" ht="30">
      <c r="A103" s="11" t="s">
        <v>78</v>
      </c>
      <c r="B103" s="552">
        <f t="shared" ref="B103:L103" si="94">SUM(B100:B102)</f>
        <v>0</v>
      </c>
      <c r="C103" s="552">
        <f>SUM(C100:C102)</f>
        <v>0</v>
      </c>
      <c r="D103" s="552">
        <f>SUM(D100:D102)</f>
        <v>0</v>
      </c>
      <c r="E103" s="552">
        <f t="shared" si="94"/>
        <v>0</v>
      </c>
      <c r="F103" s="28">
        <f t="shared" si="94"/>
        <v>0</v>
      </c>
      <c r="G103" s="537">
        <f t="shared" si="94"/>
        <v>0</v>
      </c>
      <c r="H103" s="889">
        <f t="shared" si="94"/>
        <v>0</v>
      </c>
      <c r="I103" s="915">
        <f t="shared" si="94"/>
        <v>0</v>
      </c>
      <c r="J103" s="863">
        <f t="shared" si="94"/>
        <v>0</v>
      </c>
      <c r="K103" s="812">
        <f t="shared" si="94"/>
        <v>0</v>
      </c>
      <c r="L103" s="941">
        <f t="shared" si="94"/>
        <v>0</v>
      </c>
      <c r="M103" s="552">
        <f t="shared" ref="M103:U103" si="95">SUM(M100:M102)</f>
        <v>0</v>
      </c>
      <c r="N103" s="552">
        <f t="shared" si="95"/>
        <v>0</v>
      </c>
      <c r="O103" s="552">
        <f t="shared" si="95"/>
        <v>0</v>
      </c>
      <c r="P103" s="552">
        <f t="shared" si="95"/>
        <v>0</v>
      </c>
      <c r="Q103" s="552">
        <f t="shared" si="95"/>
        <v>0</v>
      </c>
      <c r="R103" s="552">
        <f t="shared" si="95"/>
        <v>0</v>
      </c>
      <c r="S103" s="552">
        <f t="shared" si="95"/>
        <v>0</v>
      </c>
      <c r="T103" s="552">
        <f t="shared" si="95"/>
        <v>0</v>
      </c>
      <c r="U103" s="28">
        <f t="shared" si="95"/>
        <v>0</v>
      </c>
      <c r="V103" s="11" t="s">
        <v>78</v>
      </c>
      <c r="W103" s="537">
        <f>SUM(W100:W102)</f>
        <v>0</v>
      </c>
      <c r="X103" s="1470">
        <f t="shared" ref="X103:AR103" si="96">SUM(X100:X102)</f>
        <v>0</v>
      </c>
      <c r="Y103" s="967">
        <f t="shared" si="96"/>
        <v>0</v>
      </c>
      <c r="Z103" s="993">
        <f t="shared" si="96"/>
        <v>0</v>
      </c>
      <c r="AA103" s="1362">
        <f t="shared" si="96"/>
        <v>0</v>
      </c>
      <c r="AB103" s="786">
        <f t="shared" si="96"/>
        <v>0</v>
      </c>
      <c r="AC103" s="786">
        <f t="shared" si="96"/>
        <v>0</v>
      </c>
      <c r="AD103" s="1414">
        <f t="shared" si="96"/>
        <v>0</v>
      </c>
      <c r="AE103" s="1414">
        <f t="shared" si="96"/>
        <v>0</v>
      </c>
      <c r="AF103" s="1388">
        <f>SUM(AF100:AF102)</f>
        <v>0</v>
      </c>
      <c r="AG103" s="1388">
        <f>SUM(AG100:AG102)</f>
        <v>0</v>
      </c>
      <c r="AH103" s="756">
        <f>SUM(AH100:AH102)</f>
        <v>0</v>
      </c>
      <c r="AI103" s="756">
        <f>SUM(AI100:AI102)</f>
        <v>0</v>
      </c>
      <c r="AJ103" s="11" t="s">
        <v>78</v>
      </c>
      <c r="AK103" s="537">
        <f>SUM(AK100:AK102)</f>
        <v>0</v>
      </c>
      <c r="AL103" s="537">
        <f>SUM(AL100:AL102)</f>
        <v>0</v>
      </c>
      <c r="AM103" s="1440">
        <f>SUM(AM100:AM102)</f>
        <v>0</v>
      </c>
      <c r="AN103" s="1440">
        <f>SUM(AN100:AN102)</f>
        <v>0</v>
      </c>
      <c r="AO103" s="730">
        <f t="shared" si="96"/>
        <v>0</v>
      </c>
      <c r="AP103" s="730">
        <f t="shared" si="96"/>
        <v>0</v>
      </c>
      <c r="AQ103" s="730">
        <f>SUM(AQ100:AQ102)</f>
        <v>0</v>
      </c>
      <c r="AR103" s="730">
        <f t="shared" si="96"/>
        <v>0</v>
      </c>
      <c r="AS103" s="679"/>
      <c r="AT103" s="636">
        <f>SUM(AT100:AT102)</f>
        <v>0</v>
      </c>
      <c r="AU103" s="704">
        <f>SUM(AU100:AU102)</f>
        <v>0</v>
      </c>
      <c r="AV103" s="1019">
        <f t="shared" si="69"/>
        <v>0</v>
      </c>
      <c r="AW103" s="654"/>
    </row>
    <row r="104" spans="1:49" ht="90">
      <c r="A104" s="11" t="s">
        <v>748</v>
      </c>
      <c r="B104" s="552"/>
      <c r="C104" s="552"/>
      <c r="D104" s="552"/>
      <c r="E104" s="552"/>
      <c r="F104" s="23">
        <f>SUM(B104:E104)</f>
        <v>0</v>
      </c>
      <c r="G104" s="530"/>
      <c r="H104" s="893"/>
      <c r="I104" s="919"/>
      <c r="J104" s="867"/>
      <c r="K104" s="816"/>
      <c r="L104" s="945">
        <f>336150+336150+800000+200000+500000</f>
        <v>2172300</v>
      </c>
      <c r="M104" s="552"/>
      <c r="N104" s="552"/>
      <c r="O104" s="552"/>
      <c r="P104" s="552"/>
      <c r="Q104" s="552"/>
      <c r="R104" s="552"/>
      <c r="S104" s="552"/>
      <c r="T104" s="552"/>
      <c r="U104" s="23">
        <f>SUM(M104:T104)</f>
        <v>0</v>
      </c>
      <c r="V104" s="11" t="s">
        <v>636</v>
      </c>
      <c r="W104" s="530"/>
      <c r="X104" s="1474"/>
      <c r="Y104" s="971"/>
      <c r="Z104" s="997"/>
      <c r="AA104" s="1366"/>
      <c r="AB104" s="790"/>
      <c r="AC104" s="790"/>
      <c r="AD104" s="1418"/>
      <c r="AE104" s="1418"/>
      <c r="AF104" s="1392"/>
      <c r="AG104" s="1392"/>
      <c r="AH104" s="760"/>
      <c r="AI104" s="760"/>
      <c r="AJ104" s="11" t="s">
        <v>636</v>
      </c>
      <c r="AK104" s="530"/>
      <c r="AL104" s="530"/>
      <c r="AM104" s="1444"/>
      <c r="AN104" s="1444"/>
      <c r="AO104" s="734"/>
      <c r="AP104" s="734"/>
      <c r="AQ104" s="734"/>
      <c r="AR104" s="734"/>
      <c r="AS104" s="680"/>
      <c r="AT104" s="636"/>
      <c r="AU104" s="708"/>
      <c r="AV104" s="1019">
        <f t="shared" si="69"/>
        <v>2172300</v>
      </c>
      <c r="AW104" s="654"/>
    </row>
    <row r="105" spans="1:49" ht="75">
      <c r="A105" s="11" t="s">
        <v>749</v>
      </c>
      <c r="B105" s="552"/>
      <c r="C105" s="552"/>
      <c r="D105" s="552"/>
      <c r="E105" s="552"/>
      <c r="F105" s="23">
        <f>SUM(B105:E105)</f>
        <v>0</v>
      </c>
      <c r="G105" s="530"/>
      <c r="H105" s="893"/>
      <c r="I105" s="919"/>
      <c r="J105" s="867"/>
      <c r="K105" s="816"/>
      <c r="L105" s="945"/>
      <c r="M105" s="552"/>
      <c r="N105" s="552"/>
      <c r="O105" s="552"/>
      <c r="P105" s="552"/>
      <c r="Q105" s="552"/>
      <c r="R105" s="552"/>
      <c r="S105" s="552"/>
      <c r="T105" s="552"/>
      <c r="U105" s="23">
        <f>SUM(M105:T105)</f>
        <v>0</v>
      </c>
      <c r="V105" s="11" t="s">
        <v>635</v>
      </c>
      <c r="W105" s="530"/>
      <c r="X105" s="1474"/>
      <c r="Y105" s="971"/>
      <c r="Z105" s="997"/>
      <c r="AA105" s="1366"/>
      <c r="AB105" s="790"/>
      <c r="AC105" s="790"/>
      <c r="AD105" s="1418"/>
      <c r="AE105" s="1418"/>
      <c r="AF105" s="1392"/>
      <c r="AG105" s="1392"/>
      <c r="AH105" s="760"/>
      <c r="AI105" s="760"/>
      <c r="AJ105" s="11" t="s">
        <v>635</v>
      </c>
      <c r="AK105" s="530">
        <f>350000+240000+100000+150000+100000+50000+150000+150000+360000+20000+150000+100000+150000</f>
        <v>2070000</v>
      </c>
      <c r="AL105" s="530">
        <f>3*150000</f>
        <v>450000</v>
      </c>
      <c r="AM105" s="1444">
        <f>15000+12000+45000</f>
        <v>72000</v>
      </c>
      <c r="AN105" s="1444"/>
      <c r="AO105" s="734"/>
      <c r="AP105" s="734"/>
      <c r="AQ105" s="734"/>
      <c r="AR105" s="734"/>
      <c r="AS105" s="680"/>
      <c r="AT105" s="636"/>
      <c r="AU105" s="708"/>
      <c r="AV105" s="1019">
        <f t="shared" si="69"/>
        <v>2592000</v>
      </c>
      <c r="AW105" s="654"/>
    </row>
    <row r="106" spans="1:49" ht="60.75" thickBot="1">
      <c r="A106" s="12" t="s">
        <v>804</v>
      </c>
      <c r="B106" s="583"/>
      <c r="C106" s="583"/>
      <c r="D106" s="583"/>
      <c r="E106" s="1013">
        <f>4072552+5000000-1310000</f>
        <v>7762552</v>
      </c>
      <c r="F106" s="557">
        <f>SUM(B106:E106)</f>
        <v>7762552</v>
      </c>
      <c r="G106" s="559"/>
      <c r="H106" s="894"/>
      <c r="I106" s="920"/>
      <c r="J106" s="868"/>
      <c r="K106" s="817"/>
      <c r="L106" s="946"/>
      <c r="M106" s="583"/>
      <c r="N106" s="583"/>
      <c r="O106" s="583"/>
      <c r="P106" s="583"/>
      <c r="Q106" s="583"/>
      <c r="R106" s="583"/>
      <c r="S106" s="583"/>
      <c r="T106" s="583"/>
      <c r="U106" s="557">
        <f>SUM(M106:T106)</f>
        <v>0</v>
      </c>
      <c r="V106" s="12" t="s">
        <v>756</v>
      </c>
      <c r="W106" s="559"/>
      <c r="X106" s="1475"/>
      <c r="Y106" s="972"/>
      <c r="Z106" s="998"/>
      <c r="AA106" s="1367"/>
      <c r="AB106" s="791"/>
      <c r="AC106" s="791"/>
      <c r="AD106" s="1419"/>
      <c r="AE106" s="1419"/>
      <c r="AF106" s="1393"/>
      <c r="AG106" s="1393"/>
      <c r="AH106" s="761"/>
      <c r="AI106" s="761"/>
      <c r="AJ106" s="12" t="s">
        <v>634</v>
      </c>
      <c r="AK106" s="559"/>
      <c r="AL106" s="559"/>
      <c r="AM106" s="1445"/>
      <c r="AN106" s="1445"/>
      <c r="AO106" s="735"/>
      <c r="AP106" s="735"/>
      <c r="AQ106" s="735"/>
      <c r="AR106" s="735"/>
      <c r="AS106" s="683"/>
      <c r="AT106" s="639"/>
      <c r="AU106" s="709"/>
      <c r="AV106" s="1019">
        <f t="shared" si="69"/>
        <v>7762552</v>
      </c>
      <c r="AW106" s="654"/>
    </row>
    <row r="107" spans="1:49" ht="16.5" thickBot="1">
      <c r="A107" s="13" t="s">
        <v>79</v>
      </c>
      <c r="B107" s="577">
        <f t="shared" ref="B107:L107" si="97">B103+B104+B105+B106</f>
        <v>0</v>
      </c>
      <c r="C107" s="577">
        <f>C103+C104+C105+C106</f>
        <v>0</v>
      </c>
      <c r="D107" s="577">
        <f>D103+D104+D105+D106</f>
        <v>0</v>
      </c>
      <c r="E107" s="577">
        <f t="shared" si="97"/>
        <v>7762552</v>
      </c>
      <c r="F107" s="578">
        <f t="shared" si="97"/>
        <v>7762552</v>
      </c>
      <c r="G107" s="579">
        <f t="shared" si="97"/>
        <v>0</v>
      </c>
      <c r="H107" s="886">
        <f t="shared" si="97"/>
        <v>0</v>
      </c>
      <c r="I107" s="912">
        <f t="shared" si="97"/>
        <v>0</v>
      </c>
      <c r="J107" s="860">
        <f t="shared" si="97"/>
        <v>0</v>
      </c>
      <c r="K107" s="809">
        <f t="shared" si="97"/>
        <v>0</v>
      </c>
      <c r="L107" s="938">
        <f t="shared" si="97"/>
        <v>2172300</v>
      </c>
      <c r="M107" s="577">
        <f t="shared" ref="M107:U107" si="98">M103+M104+M105+M106</f>
        <v>0</v>
      </c>
      <c r="N107" s="577">
        <f t="shared" si="98"/>
        <v>0</v>
      </c>
      <c r="O107" s="577">
        <f t="shared" si="98"/>
        <v>0</v>
      </c>
      <c r="P107" s="577">
        <f t="shared" si="98"/>
        <v>0</v>
      </c>
      <c r="Q107" s="577">
        <f t="shared" si="98"/>
        <v>0</v>
      </c>
      <c r="R107" s="577">
        <f t="shared" si="98"/>
        <v>0</v>
      </c>
      <c r="S107" s="577">
        <f t="shared" si="98"/>
        <v>0</v>
      </c>
      <c r="T107" s="577">
        <f t="shared" si="98"/>
        <v>0</v>
      </c>
      <c r="U107" s="578">
        <f t="shared" si="98"/>
        <v>0</v>
      </c>
      <c r="V107" s="13" t="s">
        <v>79</v>
      </c>
      <c r="W107" s="579">
        <f>W103+W104+W105+W106</f>
        <v>0</v>
      </c>
      <c r="X107" s="1467">
        <f t="shared" ref="X107:AR107" si="99">X103+X104+X105+X106</f>
        <v>0</v>
      </c>
      <c r="Y107" s="964">
        <f t="shared" si="99"/>
        <v>0</v>
      </c>
      <c r="Z107" s="990">
        <f t="shared" si="99"/>
        <v>0</v>
      </c>
      <c r="AA107" s="1359">
        <f t="shared" si="99"/>
        <v>0</v>
      </c>
      <c r="AB107" s="783">
        <f t="shared" si="99"/>
        <v>0</v>
      </c>
      <c r="AC107" s="783">
        <f t="shared" si="99"/>
        <v>0</v>
      </c>
      <c r="AD107" s="1411">
        <f t="shared" si="99"/>
        <v>0</v>
      </c>
      <c r="AE107" s="1411">
        <f t="shared" si="99"/>
        <v>0</v>
      </c>
      <c r="AF107" s="1385">
        <f>AF103+AF104+AF105+AF106</f>
        <v>0</v>
      </c>
      <c r="AG107" s="1385">
        <f>AG103+AG104+AG105+AG106</f>
        <v>0</v>
      </c>
      <c r="AH107" s="753">
        <f>AH103+AH104+AH105+AH106</f>
        <v>0</v>
      </c>
      <c r="AI107" s="753">
        <f>AI103+AI104+AI105+AI106</f>
        <v>0</v>
      </c>
      <c r="AJ107" s="13" t="s">
        <v>79</v>
      </c>
      <c r="AK107" s="579">
        <f>AK103+AK104+AK105+AK106</f>
        <v>2070000</v>
      </c>
      <c r="AL107" s="579">
        <f>AL103+AL104+AL105+AL106</f>
        <v>450000</v>
      </c>
      <c r="AM107" s="1437">
        <f>AM103+AM104+AM105+AM106</f>
        <v>72000</v>
      </c>
      <c r="AN107" s="1437">
        <f>AN103+AN104+AN105+AN106</f>
        <v>0</v>
      </c>
      <c r="AO107" s="727">
        <f t="shared" si="99"/>
        <v>0</v>
      </c>
      <c r="AP107" s="727">
        <f t="shared" si="99"/>
        <v>0</v>
      </c>
      <c r="AQ107" s="727">
        <f>AQ103+AQ104+AQ105+AQ106</f>
        <v>0</v>
      </c>
      <c r="AR107" s="727">
        <f t="shared" si="99"/>
        <v>0</v>
      </c>
      <c r="AS107" s="676"/>
      <c r="AT107" s="633">
        <f>AT103+AT104+AT105+AT106</f>
        <v>0</v>
      </c>
      <c r="AU107" s="701">
        <f>AU103+AU104+AU105+AU106</f>
        <v>0</v>
      </c>
      <c r="AV107" s="1519">
        <f t="shared" si="69"/>
        <v>12526852</v>
      </c>
      <c r="AW107" s="654"/>
    </row>
    <row r="108" spans="1:49" ht="15.75">
      <c r="A108" s="584" t="s">
        <v>80</v>
      </c>
      <c r="B108" s="585"/>
      <c r="C108" s="585"/>
      <c r="D108" s="585"/>
      <c r="E108" s="585">
        <v>100000</v>
      </c>
      <c r="F108" s="24">
        <f>SUM(B108:E108)</f>
        <v>100000</v>
      </c>
      <c r="G108" s="534"/>
      <c r="H108" s="895"/>
      <c r="I108" s="921"/>
      <c r="J108" s="869"/>
      <c r="K108" s="818"/>
      <c r="L108" s="947"/>
      <c r="M108" s="585"/>
      <c r="N108" s="585"/>
      <c r="O108" s="585"/>
      <c r="P108" s="585"/>
      <c r="Q108" s="585"/>
      <c r="R108" s="585"/>
      <c r="S108" s="585"/>
      <c r="T108" s="585"/>
      <c r="U108" s="24">
        <f>SUM(M108:T108)</f>
        <v>0</v>
      </c>
      <c r="V108" s="584" t="s">
        <v>80</v>
      </c>
      <c r="W108" s="534"/>
      <c r="X108" s="1476"/>
      <c r="Y108" s="973"/>
      <c r="Z108" s="999"/>
      <c r="AA108" s="1368"/>
      <c r="AB108" s="792"/>
      <c r="AC108" s="792"/>
      <c r="AD108" s="1420"/>
      <c r="AE108" s="1420"/>
      <c r="AF108" s="1394"/>
      <c r="AG108" s="1394"/>
      <c r="AH108" s="762"/>
      <c r="AI108" s="762"/>
      <c r="AJ108" s="584" t="s">
        <v>80</v>
      </c>
      <c r="AK108" s="534"/>
      <c r="AL108" s="534"/>
      <c r="AM108" s="1446"/>
      <c r="AN108" s="1446"/>
      <c r="AO108" s="736"/>
      <c r="AP108" s="736"/>
      <c r="AQ108" s="736"/>
      <c r="AR108" s="736"/>
      <c r="AS108" s="678"/>
      <c r="AT108" s="640"/>
      <c r="AU108" s="710"/>
      <c r="AV108" s="25">
        <f t="shared" si="69"/>
        <v>100000</v>
      </c>
      <c r="AW108" s="654"/>
    </row>
    <row r="109" spans="1:49" ht="30">
      <c r="A109" s="584" t="s">
        <v>752</v>
      </c>
      <c r="B109" s="585"/>
      <c r="C109" s="585"/>
      <c r="D109" s="585"/>
      <c r="E109" s="585"/>
      <c r="F109" s="24">
        <f>SUM(B109:E109)</f>
        <v>0</v>
      </c>
      <c r="G109" s="534"/>
      <c r="H109" s="895"/>
      <c r="I109" s="921">
        <v>19785000</v>
      </c>
      <c r="J109" s="869"/>
      <c r="K109" s="818"/>
      <c r="L109" s="947"/>
      <c r="M109" s="585"/>
      <c r="N109" s="585"/>
      <c r="O109" s="585"/>
      <c r="P109" s="585"/>
      <c r="Q109" s="585"/>
      <c r="R109" s="585"/>
      <c r="S109" s="585"/>
      <c r="T109" s="585"/>
      <c r="U109" s="24"/>
      <c r="V109" s="584" t="s">
        <v>643</v>
      </c>
      <c r="W109" s="534"/>
      <c r="X109" s="1476"/>
      <c r="Y109" s="973"/>
      <c r="Z109" s="999"/>
      <c r="AA109" s="1368"/>
      <c r="AB109" s="792"/>
      <c r="AC109" s="792"/>
      <c r="AD109" s="1420"/>
      <c r="AE109" s="1420"/>
      <c r="AF109" s="1394"/>
      <c r="AG109" s="1394"/>
      <c r="AH109" s="762"/>
      <c r="AI109" s="762"/>
      <c r="AJ109" s="584" t="s">
        <v>643</v>
      </c>
      <c r="AK109" s="534"/>
      <c r="AL109" s="534"/>
      <c r="AM109" s="1446"/>
      <c r="AN109" s="1446"/>
      <c r="AO109" s="736"/>
      <c r="AP109" s="736"/>
      <c r="AQ109" s="736"/>
      <c r="AR109" s="736"/>
      <c r="AS109" s="678"/>
      <c r="AT109" s="640"/>
      <c r="AU109" s="710"/>
      <c r="AV109" s="1019">
        <f t="shared" si="69"/>
        <v>19785000</v>
      </c>
      <c r="AW109" s="654"/>
    </row>
    <row r="110" spans="1:49" ht="15.75">
      <c r="A110" s="11" t="s">
        <v>172</v>
      </c>
      <c r="B110" s="552"/>
      <c r="C110" s="552"/>
      <c r="D110" s="552"/>
      <c r="E110" s="552">
        <v>500000</v>
      </c>
      <c r="F110" s="23">
        <f>SUM(B110:E110)</f>
        <v>500000</v>
      </c>
      <c r="G110" s="530"/>
      <c r="H110" s="893"/>
      <c r="I110" s="919"/>
      <c r="J110" s="867"/>
      <c r="K110" s="816"/>
      <c r="L110" s="945"/>
      <c r="M110" s="552"/>
      <c r="N110" s="552"/>
      <c r="O110" s="552"/>
      <c r="P110" s="552"/>
      <c r="Q110" s="552"/>
      <c r="R110" s="552"/>
      <c r="S110" s="552"/>
      <c r="T110" s="552"/>
      <c r="U110" s="23">
        <f>SUM(M110:T110)</f>
        <v>0</v>
      </c>
      <c r="V110" s="11" t="s">
        <v>172</v>
      </c>
      <c r="W110" s="530"/>
      <c r="X110" s="1474"/>
      <c r="Y110" s="971"/>
      <c r="Z110" s="997"/>
      <c r="AA110" s="1366"/>
      <c r="AB110" s="790"/>
      <c r="AC110" s="790"/>
      <c r="AD110" s="1418"/>
      <c r="AE110" s="1418"/>
      <c r="AF110" s="1392"/>
      <c r="AG110" s="1392"/>
      <c r="AH110" s="760"/>
      <c r="AI110" s="760"/>
      <c r="AJ110" s="11" t="s">
        <v>172</v>
      </c>
      <c r="AK110" s="530"/>
      <c r="AL110" s="530"/>
      <c r="AM110" s="1444"/>
      <c r="AN110" s="1444"/>
      <c r="AO110" s="734"/>
      <c r="AP110" s="734"/>
      <c r="AQ110" s="734"/>
      <c r="AR110" s="734"/>
      <c r="AS110" s="680"/>
      <c r="AT110" s="636"/>
      <c r="AU110" s="708"/>
      <c r="AV110" s="1019">
        <f t="shared" si="69"/>
        <v>500000</v>
      </c>
      <c r="AW110" s="654"/>
    </row>
    <row r="111" spans="1:49" ht="15.75">
      <c r="A111" s="11" t="s">
        <v>642</v>
      </c>
      <c r="B111" s="552"/>
      <c r="C111" s="552"/>
      <c r="D111" s="552"/>
      <c r="E111" s="552">
        <v>500000</v>
      </c>
      <c r="F111" s="23">
        <f>SUM(B111:E111)</f>
        <v>500000</v>
      </c>
      <c r="G111" s="530"/>
      <c r="H111" s="893"/>
      <c r="I111" s="919"/>
      <c r="J111" s="867"/>
      <c r="K111" s="816"/>
      <c r="L111" s="945"/>
      <c r="M111" s="552"/>
      <c r="N111" s="552"/>
      <c r="O111" s="552"/>
      <c r="P111" s="552"/>
      <c r="Q111" s="552"/>
      <c r="R111" s="552"/>
      <c r="S111" s="552"/>
      <c r="T111" s="552"/>
      <c r="U111" s="23">
        <f>SUM(M111:T111)</f>
        <v>0</v>
      </c>
      <c r="V111" s="11" t="s">
        <v>642</v>
      </c>
      <c r="W111" s="530"/>
      <c r="X111" s="1474"/>
      <c r="Y111" s="971"/>
      <c r="Z111" s="997"/>
      <c r="AA111" s="1366"/>
      <c r="AB111" s="790"/>
      <c r="AC111" s="790"/>
      <c r="AD111" s="1418"/>
      <c r="AE111" s="1418"/>
      <c r="AF111" s="1392"/>
      <c r="AG111" s="1392"/>
      <c r="AH111" s="760"/>
      <c r="AI111" s="760"/>
      <c r="AJ111" s="11" t="s">
        <v>642</v>
      </c>
      <c r="AK111" s="530"/>
      <c r="AL111" s="530"/>
      <c r="AM111" s="1444"/>
      <c r="AN111" s="1444"/>
      <c r="AO111" s="734"/>
      <c r="AP111" s="734"/>
      <c r="AQ111" s="734"/>
      <c r="AR111" s="734"/>
      <c r="AS111" s="680"/>
      <c r="AT111" s="636"/>
      <c r="AU111" s="708"/>
      <c r="AV111" s="1019">
        <f t="shared" si="69"/>
        <v>500000</v>
      </c>
      <c r="AW111" s="654"/>
    </row>
    <row r="112" spans="1:49" ht="16.5" thickBot="1">
      <c r="A112" s="12" t="s">
        <v>81</v>
      </c>
      <c r="B112" s="583"/>
      <c r="C112" s="583"/>
      <c r="D112" s="583"/>
      <c r="E112" s="583">
        <f>(E108+E110+E111)*27%</f>
        <v>297000</v>
      </c>
      <c r="F112" s="557">
        <f>SUM(B112:E112)</f>
        <v>297000</v>
      </c>
      <c r="G112" s="559"/>
      <c r="H112" s="894"/>
      <c r="I112" s="920">
        <v>5342000</v>
      </c>
      <c r="J112" s="868"/>
      <c r="K112" s="817"/>
      <c r="L112" s="946"/>
      <c r="M112" s="583"/>
      <c r="N112" s="583"/>
      <c r="O112" s="583"/>
      <c r="P112" s="583"/>
      <c r="Q112" s="583"/>
      <c r="R112" s="583"/>
      <c r="S112" s="583"/>
      <c r="T112" s="583"/>
      <c r="U112" s="557">
        <f>SUM(M112:T112)</f>
        <v>0</v>
      </c>
      <c r="V112" s="12" t="s">
        <v>81</v>
      </c>
      <c r="W112" s="559"/>
      <c r="X112" s="1475"/>
      <c r="Y112" s="972"/>
      <c r="Z112" s="998"/>
      <c r="AA112" s="1367"/>
      <c r="AB112" s="791"/>
      <c r="AC112" s="791"/>
      <c r="AD112" s="1419"/>
      <c r="AE112" s="1419"/>
      <c r="AF112" s="1393"/>
      <c r="AG112" s="1393"/>
      <c r="AH112" s="761"/>
      <c r="AI112" s="761"/>
      <c r="AJ112" s="12" t="s">
        <v>81</v>
      </c>
      <c r="AK112" s="559"/>
      <c r="AL112" s="559"/>
      <c r="AM112" s="1445"/>
      <c r="AN112" s="1445"/>
      <c r="AO112" s="735"/>
      <c r="AP112" s="735"/>
      <c r="AQ112" s="735"/>
      <c r="AR112" s="735"/>
      <c r="AS112" s="683"/>
      <c r="AT112" s="639"/>
      <c r="AU112" s="709"/>
      <c r="AV112" s="1020">
        <f t="shared" si="69"/>
        <v>5639000</v>
      </c>
      <c r="AW112" s="654"/>
    </row>
    <row r="113" spans="1:51" ht="16.5" thickBot="1">
      <c r="A113" s="13" t="s">
        <v>82</v>
      </c>
      <c r="B113" s="577">
        <f t="shared" ref="B113:L113" si="100">SUM(B108:B112)</f>
        <v>0</v>
      </c>
      <c r="C113" s="577">
        <f>SUM(C108:C112)</f>
        <v>0</v>
      </c>
      <c r="D113" s="577">
        <f>SUM(D108:D112)</f>
        <v>0</v>
      </c>
      <c r="E113" s="577">
        <f t="shared" si="100"/>
        <v>1397000</v>
      </c>
      <c r="F113" s="578">
        <f t="shared" si="100"/>
        <v>1397000</v>
      </c>
      <c r="G113" s="579">
        <f t="shared" si="100"/>
        <v>0</v>
      </c>
      <c r="H113" s="886">
        <f t="shared" si="100"/>
        <v>0</v>
      </c>
      <c r="I113" s="912">
        <f t="shared" si="100"/>
        <v>25127000</v>
      </c>
      <c r="J113" s="860">
        <f t="shared" si="100"/>
        <v>0</v>
      </c>
      <c r="K113" s="809">
        <f t="shared" si="100"/>
        <v>0</v>
      </c>
      <c r="L113" s="938">
        <f t="shared" si="100"/>
        <v>0</v>
      </c>
      <c r="M113" s="577">
        <f t="shared" ref="M113:U113" si="101">SUM(M108:M112)</f>
        <v>0</v>
      </c>
      <c r="N113" s="577">
        <f t="shared" si="101"/>
        <v>0</v>
      </c>
      <c r="O113" s="577">
        <f t="shared" si="101"/>
        <v>0</v>
      </c>
      <c r="P113" s="577">
        <f t="shared" si="101"/>
        <v>0</v>
      </c>
      <c r="Q113" s="577">
        <f t="shared" si="101"/>
        <v>0</v>
      </c>
      <c r="R113" s="577">
        <f t="shared" si="101"/>
        <v>0</v>
      </c>
      <c r="S113" s="577">
        <f t="shared" si="101"/>
        <v>0</v>
      </c>
      <c r="T113" s="577">
        <f t="shared" si="101"/>
        <v>0</v>
      </c>
      <c r="U113" s="578">
        <f t="shared" si="101"/>
        <v>0</v>
      </c>
      <c r="V113" s="13" t="s">
        <v>82</v>
      </c>
      <c r="W113" s="579">
        <f>SUM(W108:W112)</f>
        <v>0</v>
      </c>
      <c r="X113" s="1467">
        <f t="shared" ref="X113:AR113" si="102">SUM(X108:X112)</f>
        <v>0</v>
      </c>
      <c r="Y113" s="964">
        <f t="shared" si="102"/>
        <v>0</v>
      </c>
      <c r="Z113" s="990">
        <f t="shared" si="102"/>
        <v>0</v>
      </c>
      <c r="AA113" s="1359">
        <f t="shared" si="102"/>
        <v>0</v>
      </c>
      <c r="AB113" s="783">
        <f t="shared" si="102"/>
        <v>0</v>
      </c>
      <c r="AC113" s="783">
        <f t="shared" si="102"/>
        <v>0</v>
      </c>
      <c r="AD113" s="1411">
        <f t="shared" si="102"/>
        <v>0</v>
      </c>
      <c r="AE113" s="1411">
        <f t="shared" si="102"/>
        <v>0</v>
      </c>
      <c r="AF113" s="1385">
        <f>SUM(AF108:AF112)</f>
        <v>0</v>
      </c>
      <c r="AG113" s="1385">
        <f>SUM(AG108:AG112)</f>
        <v>0</v>
      </c>
      <c r="AH113" s="753">
        <f>SUM(AH108:AH112)</f>
        <v>0</v>
      </c>
      <c r="AI113" s="753">
        <f>SUM(AI108:AI112)</f>
        <v>0</v>
      </c>
      <c r="AJ113" s="13" t="s">
        <v>82</v>
      </c>
      <c r="AK113" s="579">
        <f>SUM(AK108:AK112)</f>
        <v>0</v>
      </c>
      <c r="AL113" s="579">
        <f>SUM(AL108:AL112)</f>
        <v>0</v>
      </c>
      <c r="AM113" s="1437">
        <f>SUM(AM108:AM112)</f>
        <v>0</v>
      </c>
      <c r="AN113" s="1437">
        <f>SUM(AN108:AN112)</f>
        <v>0</v>
      </c>
      <c r="AO113" s="727">
        <f t="shared" si="102"/>
        <v>0</v>
      </c>
      <c r="AP113" s="727">
        <f t="shared" si="102"/>
        <v>0</v>
      </c>
      <c r="AQ113" s="727">
        <f>SUM(AQ108:AQ112)</f>
        <v>0</v>
      </c>
      <c r="AR113" s="727">
        <f t="shared" si="102"/>
        <v>0</v>
      </c>
      <c r="AS113" s="676"/>
      <c r="AT113" s="633">
        <f>SUM(AT108:AT112)</f>
        <v>0</v>
      </c>
      <c r="AU113" s="701">
        <f>SUM(AU108:AU112)</f>
        <v>0</v>
      </c>
      <c r="AV113" s="1518">
        <f t="shared" si="69"/>
        <v>26524000</v>
      </c>
      <c r="AW113" s="654"/>
      <c r="AX113" s="654"/>
    </row>
    <row r="114" spans="1:51" ht="60">
      <c r="A114" s="584" t="s">
        <v>751</v>
      </c>
      <c r="B114" s="585"/>
      <c r="C114" s="585"/>
      <c r="D114" s="585"/>
      <c r="E114" s="585"/>
      <c r="F114" s="24">
        <f>SUM(B114:E114)</f>
        <v>0</v>
      </c>
      <c r="G114" s="534">
        <f>4867432+4270395</f>
        <v>9137827</v>
      </c>
      <c r="H114" s="895"/>
      <c r="I114" s="921">
        <v>650000</v>
      </c>
      <c r="J114" s="869"/>
      <c r="K114" s="818"/>
      <c r="L114" s="947"/>
      <c r="M114" s="585"/>
      <c r="N114" s="585"/>
      <c r="O114" s="585"/>
      <c r="P114" s="585"/>
      <c r="Q114" s="585"/>
      <c r="R114" s="585"/>
      <c r="S114" s="585"/>
      <c r="T114" s="585"/>
      <c r="U114" s="24">
        <f>SUM(M114:T114)</f>
        <v>0</v>
      </c>
      <c r="V114" s="584" t="s">
        <v>83</v>
      </c>
      <c r="W114" s="534">
        <f>22820000+7900000</f>
        <v>30720000</v>
      </c>
      <c r="X114" s="1476"/>
      <c r="Y114" s="973"/>
      <c r="Z114" s="999"/>
      <c r="AA114" s="1368"/>
      <c r="AB114" s="792"/>
      <c r="AC114" s="792"/>
      <c r="AD114" s="1420"/>
      <c r="AE114" s="1420"/>
      <c r="AF114" s="1394"/>
      <c r="AG114" s="1394"/>
      <c r="AH114" s="762"/>
      <c r="AI114" s="762">
        <v>9500000</v>
      </c>
      <c r="AJ114" s="584" t="s">
        <v>83</v>
      </c>
      <c r="AK114" s="534"/>
      <c r="AL114" s="534"/>
      <c r="AM114" s="1446"/>
      <c r="AN114" s="1446"/>
      <c r="AO114" s="736"/>
      <c r="AP114" s="736"/>
      <c r="AQ114" s="736"/>
      <c r="AR114" s="736"/>
      <c r="AS114" s="678"/>
      <c r="AT114" s="640"/>
      <c r="AU114" s="710"/>
      <c r="AV114" s="25">
        <f t="shared" si="69"/>
        <v>50007827</v>
      </c>
      <c r="AW114" s="654"/>
    </row>
    <row r="115" spans="1:51" ht="15.75">
      <c r="A115" s="11" t="s">
        <v>84</v>
      </c>
      <c r="B115" s="552"/>
      <c r="C115" s="552"/>
      <c r="D115" s="552"/>
      <c r="E115" s="552"/>
      <c r="F115" s="23">
        <f>SUM(B115:E115)</f>
        <v>0</v>
      </c>
      <c r="G115" s="530"/>
      <c r="H115" s="893"/>
      <c r="I115" s="919"/>
      <c r="J115" s="867"/>
      <c r="K115" s="816"/>
      <c r="L115" s="945"/>
      <c r="M115" s="552"/>
      <c r="N115" s="552"/>
      <c r="O115" s="552"/>
      <c r="P115" s="552"/>
      <c r="Q115" s="552"/>
      <c r="R115" s="552"/>
      <c r="S115" s="552"/>
      <c r="T115" s="552"/>
      <c r="U115" s="23">
        <f>SUM(M115:T115)</f>
        <v>0</v>
      </c>
      <c r="V115" s="11" t="s">
        <v>84</v>
      </c>
      <c r="W115" s="530"/>
      <c r="X115" s="1474"/>
      <c r="Y115" s="971"/>
      <c r="Z115" s="997"/>
      <c r="AA115" s="1366"/>
      <c r="AB115" s="790"/>
      <c r="AC115" s="790"/>
      <c r="AD115" s="1418"/>
      <c r="AE115" s="1418"/>
      <c r="AF115" s="1392"/>
      <c r="AG115" s="1392"/>
      <c r="AH115" s="760"/>
      <c r="AI115" s="760"/>
      <c r="AJ115" s="11" t="s">
        <v>84</v>
      </c>
      <c r="AK115" s="530"/>
      <c r="AL115" s="530"/>
      <c r="AM115" s="1444"/>
      <c r="AN115" s="1444"/>
      <c r="AO115" s="734"/>
      <c r="AP115" s="734"/>
      <c r="AQ115" s="734"/>
      <c r="AR115" s="734"/>
      <c r="AS115" s="680"/>
      <c r="AT115" s="636"/>
      <c r="AU115" s="708"/>
      <c r="AV115" s="1019">
        <f t="shared" si="69"/>
        <v>0</v>
      </c>
      <c r="AW115" s="654"/>
    </row>
    <row r="116" spans="1:51" ht="15.75">
      <c r="A116" s="11" t="s">
        <v>85</v>
      </c>
      <c r="B116" s="552"/>
      <c r="C116" s="552"/>
      <c r="D116" s="552"/>
      <c r="E116" s="552"/>
      <c r="F116" s="23">
        <f>SUM(B116:E116)</f>
        <v>0</v>
      </c>
      <c r="G116" s="530"/>
      <c r="H116" s="893"/>
      <c r="I116" s="919"/>
      <c r="J116" s="867"/>
      <c r="K116" s="816"/>
      <c r="L116" s="945"/>
      <c r="M116" s="552"/>
      <c r="N116" s="552"/>
      <c r="O116" s="552"/>
      <c r="P116" s="552"/>
      <c r="Q116" s="552"/>
      <c r="R116" s="552"/>
      <c r="S116" s="552"/>
      <c r="T116" s="552"/>
      <c r="U116" s="23">
        <f>SUM(M116:T116)</f>
        <v>0</v>
      </c>
      <c r="V116" s="11" t="s">
        <v>85</v>
      </c>
      <c r="W116" s="530"/>
      <c r="X116" s="1474"/>
      <c r="Y116" s="971"/>
      <c r="Z116" s="997"/>
      <c r="AA116" s="1366"/>
      <c r="AB116" s="790"/>
      <c r="AC116" s="790"/>
      <c r="AD116" s="1418"/>
      <c r="AE116" s="1418"/>
      <c r="AF116" s="1392"/>
      <c r="AG116" s="1392"/>
      <c r="AH116" s="760"/>
      <c r="AI116" s="760"/>
      <c r="AJ116" s="11" t="s">
        <v>85</v>
      </c>
      <c r="AK116" s="530"/>
      <c r="AL116" s="530"/>
      <c r="AM116" s="1444"/>
      <c r="AN116" s="1444"/>
      <c r="AO116" s="734"/>
      <c r="AP116" s="734"/>
      <c r="AQ116" s="734"/>
      <c r="AR116" s="734"/>
      <c r="AS116" s="680"/>
      <c r="AT116" s="636"/>
      <c r="AU116" s="708"/>
      <c r="AV116" s="1019">
        <f t="shared" si="69"/>
        <v>0</v>
      </c>
      <c r="AW116" s="654"/>
    </row>
    <row r="117" spans="1:51" ht="16.5" thickBot="1">
      <c r="A117" s="12" t="s">
        <v>86</v>
      </c>
      <c r="B117" s="583"/>
      <c r="C117" s="583"/>
      <c r="D117" s="583"/>
      <c r="E117" s="583"/>
      <c r="F117" s="557">
        <f>SUM(B117:E117)</f>
        <v>0</v>
      </c>
      <c r="G117" s="559">
        <f>G114*27%</f>
        <v>2467213.29</v>
      </c>
      <c r="H117" s="894"/>
      <c r="I117" s="920">
        <v>175500</v>
      </c>
      <c r="J117" s="868"/>
      <c r="K117" s="817"/>
      <c r="L117" s="946"/>
      <c r="M117" s="583"/>
      <c r="N117" s="583"/>
      <c r="O117" s="583"/>
      <c r="P117" s="583"/>
      <c r="Q117" s="583"/>
      <c r="R117" s="583"/>
      <c r="S117" s="583"/>
      <c r="T117" s="583"/>
      <c r="U117" s="557">
        <f>SUM(M117:T117)</f>
        <v>0</v>
      </c>
      <c r="V117" s="12" t="s">
        <v>86</v>
      </c>
      <c r="W117" s="559">
        <f>6161400+2100000</f>
        <v>8261400</v>
      </c>
      <c r="X117" s="1475"/>
      <c r="Y117" s="972"/>
      <c r="Z117" s="998"/>
      <c r="AA117" s="1367"/>
      <c r="AB117" s="791"/>
      <c r="AC117" s="791"/>
      <c r="AD117" s="1419"/>
      <c r="AE117" s="1419"/>
      <c r="AF117" s="1393"/>
      <c r="AG117" s="1393"/>
      <c r="AH117" s="761"/>
      <c r="AI117" s="761">
        <v>2565000</v>
      </c>
      <c r="AJ117" s="12" t="s">
        <v>86</v>
      </c>
      <c r="AK117" s="559"/>
      <c r="AL117" s="559"/>
      <c r="AM117" s="1445"/>
      <c r="AN117" s="1445"/>
      <c r="AO117" s="735"/>
      <c r="AP117" s="735"/>
      <c r="AQ117" s="735"/>
      <c r="AR117" s="735"/>
      <c r="AS117" s="683"/>
      <c r="AT117" s="639"/>
      <c r="AU117" s="709"/>
      <c r="AV117" s="1020">
        <f t="shared" si="69"/>
        <v>13469113.289999999</v>
      </c>
      <c r="AW117" s="654"/>
    </row>
    <row r="118" spans="1:51" ht="16.5" thickBot="1">
      <c r="A118" s="13" t="s">
        <v>87</v>
      </c>
      <c r="B118" s="577">
        <f t="shared" ref="B118:L118" si="103">SUM(B114:B117)</f>
        <v>0</v>
      </c>
      <c r="C118" s="577">
        <f>SUM(C114:C117)</f>
        <v>0</v>
      </c>
      <c r="D118" s="577">
        <f>SUM(D114:D117)</f>
        <v>0</v>
      </c>
      <c r="E118" s="577">
        <f t="shared" si="103"/>
        <v>0</v>
      </c>
      <c r="F118" s="578">
        <f t="shared" si="103"/>
        <v>0</v>
      </c>
      <c r="G118" s="579">
        <f t="shared" si="103"/>
        <v>11605040.289999999</v>
      </c>
      <c r="H118" s="886">
        <f t="shared" si="103"/>
        <v>0</v>
      </c>
      <c r="I118" s="912">
        <f t="shared" si="103"/>
        <v>825500</v>
      </c>
      <c r="J118" s="860">
        <f t="shared" si="103"/>
        <v>0</v>
      </c>
      <c r="K118" s="809">
        <f t="shared" si="103"/>
        <v>0</v>
      </c>
      <c r="L118" s="938">
        <f t="shared" si="103"/>
        <v>0</v>
      </c>
      <c r="M118" s="577">
        <f t="shared" ref="M118:U118" si="104">SUM(M114:M117)</f>
        <v>0</v>
      </c>
      <c r="N118" s="577">
        <f t="shared" si="104"/>
        <v>0</v>
      </c>
      <c r="O118" s="577">
        <f t="shared" si="104"/>
        <v>0</v>
      </c>
      <c r="P118" s="577">
        <f t="shared" si="104"/>
        <v>0</v>
      </c>
      <c r="Q118" s="577">
        <f t="shared" si="104"/>
        <v>0</v>
      </c>
      <c r="R118" s="577">
        <f t="shared" si="104"/>
        <v>0</v>
      </c>
      <c r="S118" s="577">
        <f t="shared" si="104"/>
        <v>0</v>
      </c>
      <c r="T118" s="577">
        <f t="shared" si="104"/>
        <v>0</v>
      </c>
      <c r="U118" s="578">
        <f t="shared" si="104"/>
        <v>0</v>
      </c>
      <c r="V118" s="13" t="s">
        <v>87</v>
      </c>
      <c r="W118" s="579">
        <f>SUM(W114:W117)</f>
        <v>38981400</v>
      </c>
      <c r="X118" s="1467">
        <f t="shared" ref="X118:AR118" si="105">SUM(X114:X117)</f>
        <v>0</v>
      </c>
      <c r="Y118" s="964">
        <f t="shared" si="105"/>
        <v>0</v>
      </c>
      <c r="Z118" s="990">
        <f t="shared" si="105"/>
        <v>0</v>
      </c>
      <c r="AA118" s="1359">
        <f t="shared" si="105"/>
        <v>0</v>
      </c>
      <c r="AB118" s="783">
        <f t="shared" si="105"/>
        <v>0</v>
      </c>
      <c r="AC118" s="783">
        <f t="shared" si="105"/>
        <v>0</v>
      </c>
      <c r="AD118" s="1411">
        <f t="shared" si="105"/>
        <v>0</v>
      </c>
      <c r="AE118" s="1411">
        <f t="shared" si="105"/>
        <v>0</v>
      </c>
      <c r="AF118" s="1385">
        <f>SUM(AF114:AF117)</f>
        <v>0</v>
      </c>
      <c r="AG118" s="1385">
        <f>SUM(AG114:AG117)</f>
        <v>0</v>
      </c>
      <c r="AH118" s="753">
        <f>SUM(AH114:AH117)</f>
        <v>0</v>
      </c>
      <c r="AI118" s="753">
        <f>SUM(AI114:AI117)</f>
        <v>12065000</v>
      </c>
      <c r="AJ118" s="13" t="s">
        <v>87</v>
      </c>
      <c r="AK118" s="579">
        <f>SUM(AK114:AK117)</f>
        <v>0</v>
      </c>
      <c r="AL118" s="579">
        <f>SUM(AL114:AL117)</f>
        <v>0</v>
      </c>
      <c r="AM118" s="1437">
        <f>SUM(AM114:AM117)</f>
        <v>0</v>
      </c>
      <c r="AN118" s="1437">
        <f>SUM(AN114:AN117)</f>
        <v>0</v>
      </c>
      <c r="AO118" s="727">
        <f t="shared" si="105"/>
        <v>0</v>
      </c>
      <c r="AP118" s="727">
        <f t="shared" si="105"/>
        <v>0</v>
      </c>
      <c r="AQ118" s="727">
        <f>SUM(AQ114:AQ117)</f>
        <v>0</v>
      </c>
      <c r="AR118" s="727">
        <f t="shared" si="105"/>
        <v>0</v>
      </c>
      <c r="AS118" s="676"/>
      <c r="AT118" s="633">
        <f>SUM(AT114:AT117)</f>
        <v>0</v>
      </c>
      <c r="AU118" s="701">
        <f>SUM(AU114:AU117)</f>
        <v>0</v>
      </c>
      <c r="AV118" s="1518">
        <f t="shared" si="69"/>
        <v>63476940.289999999</v>
      </c>
      <c r="AW118" s="654"/>
      <c r="AX118" s="654"/>
    </row>
    <row r="119" spans="1:51" ht="30.75" thickBot="1">
      <c r="A119" s="528" t="s">
        <v>88</v>
      </c>
      <c r="B119" s="551"/>
      <c r="C119" s="551"/>
      <c r="D119" s="551"/>
      <c r="E119" s="551"/>
      <c r="F119" s="562">
        <f>SUM(B119:E119)</f>
        <v>0</v>
      </c>
      <c r="G119" s="563"/>
      <c r="H119" s="877"/>
      <c r="I119" s="903"/>
      <c r="J119" s="851"/>
      <c r="K119" s="800"/>
      <c r="L119" s="929"/>
      <c r="M119" s="551"/>
      <c r="N119" s="551"/>
      <c r="O119" s="551"/>
      <c r="P119" s="551"/>
      <c r="Q119" s="551"/>
      <c r="R119" s="551"/>
      <c r="S119" s="551"/>
      <c r="T119" s="551"/>
      <c r="U119" s="562">
        <f>SUM(M119:T119)</f>
        <v>0</v>
      </c>
      <c r="V119" s="528" t="s">
        <v>88</v>
      </c>
      <c r="W119" s="563"/>
      <c r="X119" s="1458">
        <v>750000</v>
      </c>
      <c r="Y119" s="955"/>
      <c r="Z119" s="981"/>
      <c r="AA119" s="1350"/>
      <c r="AB119" s="774"/>
      <c r="AC119" s="774"/>
      <c r="AD119" s="1402"/>
      <c r="AE119" s="1402"/>
      <c r="AF119" s="1376"/>
      <c r="AG119" s="1376"/>
      <c r="AH119" s="744"/>
      <c r="AI119" s="744"/>
      <c r="AJ119" s="528" t="s">
        <v>88</v>
      </c>
      <c r="AK119" s="563"/>
      <c r="AL119" s="563"/>
      <c r="AM119" s="1428"/>
      <c r="AN119" s="1428"/>
      <c r="AO119" s="718"/>
      <c r="AP119" s="718"/>
      <c r="AQ119" s="718"/>
      <c r="AR119" s="718"/>
      <c r="AS119" s="667"/>
      <c r="AT119" s="574"/>
      <c r="AU119" s="692"/>
      <c r="AV119" s="25">
        <f t="shared" si="69"/>
        <v>750000</v>
      </c>
      <c r="AW119" s="654"/>
    </row>
    <row r="120" spans="1:51" ht="30.75" thickBot="1">
      <c r="A120" s="528" t="s">
        <v>89</v>
      </c>
      <c r="B120" s="551"/>
      <c r="C120" s="551"/>
      <c r="D120" s="551"/>
      <c r="E120" s="551"/>
      <c r="F120" s="562">
        <f>SUM(B120:E120)</f>
        <v>0</v>
      </c>
      <c r="G120" s="563"/>
      <c r="H120" s="877"/>
      <c r="I120" s="903"/>
      <c r="J120" s="851"/>
      <c r="K120" s="800"/>
      <c r="L120" s="929"/>
      <c r="M120" s="551"/>
      <c r="N120" s="551"/>
      <c r="O120" s="551"/>
      <c r="P120" s="551"/>
      <c r="Q120" s="551"/>
      <c r="R120" s="551"/>
      <c r="S120" s="551"/>
      <c r="T120" s="551"/>
      <c r="U120" s="562">
        <f>SUM(M120:T120)</f>
        <v>0</v>
      </c>
      <c r="V120" s="528" t="s">
        <v>89</v>
      </c>
      <c r="W120" s="563"/>
      <c r="X120" s="1458"/>
      <c r="Y120" s="955"/>
      <c r="Z120" s="981"/>
      <c r="AA120" s="1350"/>
      <c r="AB120" s="774"/>
      <c r="AC120" s="774"/>
      <c r="AD120" s="1402"/>
      <c r="AE120" s="1402"/>
      <c r="AF120" s="1376"/>
      <c r="AG120" s="1376"/>
      <c r="AH120" s="744"/>
      <c r="AI120" s="744"/>
      <c r="AJ120" s="528" t="s">
        <v>89</v>
      </c>
      <c r="AK120" s="563"/>
      <c r="AL120" s="563"/>
      <c r="AM120" s="1428"/>
      <c r="AN120" s="1428"/>
      <c r="AO120" s="718"/>
      <c r="AP120" s="718"/>
      <c r="AQ120" s="718"/>
      <c r="AR120" s="718"/>
      <c r="AS120" s="667"/>
      <c r="AT120" s="574"/>
      <c r="AU120" s="692"/>
      <c r="AV120" s="25">
        <f t="shared" si="69"/>
        <v>0</v>
      </c>
      <c r="AW120" s="654"/>
    </row>
    <row r="121" spans="1:51" ht="16.5" thickBot="1">
      <c r="A121" s="13" t="s">
        <v>90</v>
      </c>
      <c r="B121" s="577">
        <f t="shared" ref="B121:L121" si="106">SUM(B119:B120)</f>
        <v>0</v>
      </c>
      <c r="C121" s="577">
        <f>SUM(C119:C120)</f>
        <v>0</v>
      </c>
      <c r="D121" s="577">
        <f>SUM(D119:D120)</f>
        <v>0</v>
      </c>
      <c r="E121" s="577">
        <f t="shared" si="106"/>
        <v>0</v>
      </c>
      <c r="F121" s="578">
        <f t="shared" si="106"/>
        <v>0</v>
      </c>
      <c r="G121" s="579">
        <f t="shared" si="106"/>
        <v>0</v>
      </c>
      <c r="H121" s="886">
        <f t="shared" si="106"/>
        <v>0</v>
      </c>
      <c r="I121" s="912">
        <f t="shared" si="106"/>
        <v>0</v>
      </c>
      <c r="J121" s="860">
        <f t="shared" si="106"/>
        <v>0</v>
      </c>
      <c r="K121" s="809">
        <f t="shared" si="106"/>
        <v>0</v>
      </c>
      <c r="L121" s="938">
        <f t="shared" si="106"/>
        <v>0</v>
      </c>
      <c r="M121" s="577">
        <f t="shared" ref="M121:U121" si="107">SUM(M119:M120)</f>
        <v>0</v>
      </c>
      <c r="N121" s="577">
        <f t="shared" si="107"/>
        <v>0</v>
      </c>
      <c r="O121" s="577">
        <f t="shared" si="107"/>
        <v>0</v>
      </c>
      <c r="P121" s="577">
        <f t="shared" si="107"/>
        <v>0</v>
      </c>
      <c r="Q121" s="577">
        <f t="shared" si="107"/>
        <v>0</v>
      </c>
      <c r="R121" s="577">
        <f t="shared" si="107"/>
        <v>0</v>
      </c>
      <c r="S121" s="577">
        <f t="shared" si="107"/>
        <v>0</v>
      </c>
      <c r="T121" s="577">
        <f t="shared" si="107"/>
        <v>0</v>
      </c>
      <c r="U121" s="578">
        <f t="shared" si="107"/>
        <v>0</v>
      </c>
      <c r="V121" s="13" t="s">
        <v>90</v>
      </c>
      <c r="W121" s="579">
        <f>SUM(W119:W120)</f>
        <v>0</v>
      </c>
      <c r="X121" s="1467">
        <f t="shared" ref="X121:AR121" si="108">SUM(X119:X120)</f>
        <v>750000</v>
      </c>
      <c r="Y121" s="964">
        <f t="shared" si="108"/>
        <v>0</v>
      </c>
      <c r="Z121" s="990">
        <f t="shared" si="108"/>
        <v>0</v>
      </c>
      <c r="AA121" s="1359">
        <f t="shared" si="108"/>
        <v>0</v>
      </c>
      <c r="AB121" s="783">
        <f t="shared" si="108"/>
        <v>0</v>
      </c>
      <c r="AC121" s="783">
        <f t="shared" si="108"/>
        <v>0</v>
      </c>
      <c r="AD121" s="1411">
        <f t="shared" si="108"/>
        <v>0</v>
      </c>
      <c r="AE121" s="1411">
        <f t="shared" si="108"/>
        <v>0</v>
      </c>
      <c r="AF121" s="1385">
        <f>SUM(AF119:AF120)</f>
        <v>0</v>
      </c>
      <c r="AG121" s="1385">
        <f>SUM(AG119:AG120)</f>
        <v>0</v>
      </c>
      <c r="AH121" s="753">
        <f>SUM(AH119:AH120)</f>
        <v>0</v>
      </c>
      <c r="AI121" s="753">
        <f>SUM(AI119:AI120)</f>
        <v>0</v>
      </c>
      <c r="AJ121" s="13" t="s">
        <v>90</v>
      </c>
      <c r="AK121" s="579">
        <f>SUM(AK119:AK120)</f>
        <v>0</v>
      </c>
      <c r="AL121" s="579">
        <f>SUM(AL119:AL120)</f>
        <v>0</v>
      </c>
      <c r="AM121" s="1437">
        <f>SUM(AM119:AM120)</f>
        <v>0</v>
      </c>
      <c r="AN121" s="1437">
        <f>SUM(AN119:AN120)</f>
        <v>0</v>
      </c>
      <c r="AO121" s="727">
        <f t="shared" si="108"/>
        <v>0</v>
      </c>
      <c r="AP121" s="727">
        <f t="shared" si="108"/>
        <v>0</v>
      </c>
      <c r="AQ121" s="727">
        <f>SUM(AQ119:AQ120)</f>
        <v>0</v>
      </c>
      <c r="AR121" s="727">
        <f t="shared" si="108"/>
        <v>0</v>
      </c>
      <c r="AS121" s="676"/>
      <c r="AT121" s="633">
        <f>SUM(AT119:AT120)</f>
        <v>0</v>
      </c>
      <c r="AU121" s="701">
        <f>SUM(AU119:AU120)</f>
        <v>0</v>
      </c>
      <c r="AV121" s="1518">
        <f t="shared" si="69"/>
        <v>750000</v>
      </c>
      <c r="AW121" s="654"/>
    </row>
    <row r="122" spans="1:51" ht="30">
      <c r="A122" s="1300" t="s">
        <v>91</v>
      </c>
      <c r="B122" s="1481"/>
      <c r="C122" s="1481"/>
      <c r="D122" s="1481"/>
      <c r="E122" s="1481"/>
      <c r="F122" s="22">
        <f>SUM(B122:E122)</f>
        <v>0</v>
      </c>
      <c r="G122" s="1482"/>
      <c r="H122" s="1483"/>
      <c r="I122" s="1484"/>
      <c r="J122" s="1485"/>
      <c r="K122" s="1486"/>
      <c r="L122" s="1487"/>
      <c r="M122" s="1481"/>
      <c r="N122" s="1481"/>
      <c r="O122" s="1481"/>
      <c r="P122" s="1481"/>
      <c r="Q122" s="1481"/>
      <c r="R122" s="1481"/>
      <c r="S122" s="1481"/>
      <c r="T122" s="1481"/>
      <c r="U122" s="22">
        <f>SUM(M122:T122)</f>
        <v>0</v>
      </c>
      <c r="V122" s="1300" t="s">
        <v>91</v>
      </c>
      <c r="W122" s="1482"/>
      <c r="X122" s="1488"/>
      <c r="Y122" s="1489"/>
      <c r="Z122" s="1490"/>
      <c r="AA122" s="1491"/>
      <c r="AB122" s="1492"/>
      <c r="AC122" s="1492"/>
      <c r="AD122" s="1493"/>
      <c r="AE122" s="1493"/>
      <c r="AF122" s="1494"/>
      <c r="AG122" s="1494"/>
      <c r="AH122" s="1309"/>
      <c r="AI122" s="1309"/>
      <c r="AJ122" s="1300" t="s">
        <v>91</v>
      </c>
      <c r="AK122" s="1482"/>
      <c r="AL122" s="1482"/>
      <c r="AM122" s="1495"/>
      <c r="AN122" s="1495"/>
      <c r="AO122" s="1496"/>
      <c r="AP122" s="1496"/>
      <c r="AQ122" s="1496"/>
      <c r="AR122" s="1496"/>
      <c r="AS122" s="682"/>
      <c r="AT122" s="626"/>
      <c r="AU122" s="1497">
        <f>50000*12</f>
        <v>600000</v>
      </c>
      <c r="AV122" s="25">
        <f t="shared" si="69"/>
        <v>600000</v>
      </c>
      <c r="AW122" s="654"/>
    </row>
    <row r="123" spans="1:51" ht="30">
      <c r="A123" s="10" t="s">
        <v>92</v>
      </c>
      <c r="B123" s="549">
        <f t="shared" ref="B123:L123" si="109">B122</f>
        <v>0</v>
      </c>
      <c r="C123" s="549">
        <f>C122</f>
        <v>0</v>
      </c>
      <c r="D123" s="549">
        <f>D122</f>
        <v>0</v>
      </c>
      <c r="E123" s="549">
        <f t="shared" si="109"/>
        <v>0</v>
      </c>
      <c r="F123" s="26">
        <f t="shared" si="109"/>
        <v>0</v>
      </c>
      <c r="G123" s="535">
        <f t="shared" si="109"/>
        <v>0</v>
      </c>
      <c r="H123" s="879">
        <f t="shared" si="109"/>
        <v>0</v>
      </c>
      <c r="I123" s="905">
        <f t="shared" si="109"/>
        <v>0</v>
      </c>
      <c r="J123" s="853">
        <f t="shared" si="109"/>
        <v>0</v>
      </c>
      <c r="K123" s="802">
        <f t="shared" si="109"/>
        <v>0</v>
      </c>
      <c r="L123" s="931">
        <f t="shared" si="109"/>
        <v>0</v>
      </c>
      <c r="M123" s="549">
        <f t="shared" ref="M123:U123" si="110">M122</f>
        <v>0</v>
      </c>
      <c r="N123" s="549">
        <f t="shared" si="110"/>
        <v>0</v>
      </c>
      <c r="O123" s="549">
        <f t="shared" si="110"/>
        <v>0</v>
      </c>
      <c r="P123" s="549">
        <f t="shared" si="110"/>
        <v>0</v>
      </c>
      <c r="Q123" s="549">
        <f t="shared" si="110"/>
        <v>0</v>
      </c>
      <c r="R123" s="549">
        <f t="shared" si="110"/>
        <v>0</v>
      </c>
      <c r="S123" s="549">
        <f t="shared" si="110"/>
        <v>0</v>
      </c>
      <c r="T123" s="549">
        <f t="shared" si="110"/>
        <v>0</v>
      </c>
      <c r="U123" s="26">
        <f t="shared" si="110"/>
        <v>0</v>
      </c>
      <c r="V123" s="10" t="s">
        <v>92</v>
      </c>
      <c r="W123" s="535">
        <f>W122</f>
        <v>0</v>
      </c>
      <c r="X123" s="1460">
        <f t="shared" ref="X123:AR123" si="111">X122</f>
        <v>0</v>
      </c>
      <c r="Y123" s="957">
        <f t="shared" si="111"/>
        <v>0</v>
      </c>
      <c r="Z123" s="983">
        <f t="shared" si="111"/>
        <v>0</v>
      </c>
      <c r="AA123" s="1352">
        <f t="shared" si="111"/>
        <v>0</v>
      </c>
      <c r="AB123" s="776">
        <f t="shared" si="111"/>
        <v>0</v>
      </c>
      <c r="AC123" s="776">
        <f t="shared" si="111"/>
        <v>0</v>
      </c>
      <c r="AD123" s="1404">
        <f t="shared" si="111"/>
        <v>0</v>
      </c>
      <c r="AE123" s="1404">
        <f t="shared" si="111"/>
        <v>0</v>
      </c>
      <c r="AF123" s="1378">
        <f>AF122</f>
        <v>0</v>
      </c>
      <c r="AG123" s="1378">
        <f>AG122</f>
        <v>0</v>
      </c>
      <c r="AH123" s="746">
        <f>AH122</f>
        <v>0</v>
      </c>
      <c r="AI123" s="746">
        <f>AI122</f>
        <v>0</v>
      </c>
      <c r="AJ123" s="10" t="s">
        <v>92</v>
      </c>
      <c r="AK123" s="535">
        <f>AK122</f>
        <v>0</v>
      </c>
      <c r="AL123" s="535">
        <f>AL122</f>
        <v>0</v>
      </c>
      <c r="AM123" s="1430">
        <f>AM122</f>
        <v>0</v>
      </c>
      <c r="AN123" s="1430">
        <f>AN122</f>
        <v>0</v>
      </c>
      <c r="AO123" s="720">
        <f t="shared" si="111"/>
        <v>0</v>
      </c>
      <c r="AP123" s="720">
        <f t="shared" si="111"/>
        <v>0</v>
      </c>
      <c r="AQ123" s="720">
        <f>AQ122</f>
        <v>0</v>
      </c>
      <c r="AR123" s="720">
        <f t="shared" si="111"/>
        <v>0</v>
      </c>
      <c r="AS123" s="670"/>
      <c r="AT123" s="27">
        <f>AT122</f>
        <v>0</v>
      </c>
      <c r="AU123" s="694">
        <f>AU122</f>
        <v>600000</v>
      </c>
      <c r="AV123" s="1019">
        <f t="shared" si="69"/>
        <v>600000</v>
      </c>
      <c r="AW123" s="654"/>
    </row>
    <row r="124" spans="1:51" ht="30">
      <c r="A124" s="10" t="s">
        <v>93</v>
      </c>
      <c r="B124" s="549"/>
      <c r="C124" s="549"/>
      <c r="D124" s="549"/>
      <c r="E124" s="549"/>
      <c r="F124" s="23">
        <f>SUM(B124:E124)</f>
        <v>0</v>
      </c>
      <c r="G124" s="536"/>
      <c r="H124" s="890"/>
      <c r="I124" s="916"/>
      <c r="J124" s="864"/>
      <c r="K124" s="813"/>
      <c r="L124" s="942">
        <v>3593651</v>
      </c>
      <c r="M124" s="549"/>
      <c r="N124" s="549"/>
      <c r="O124" s="549"/>
      <c r="P124" s="549"/>
      <c r="Q124" s="549"/>
      <c r="R124" s="549"/>
      <c r="S124" s="549"/>
      <c r="T124" s="549"/>
      <c r="U124" s="23">
        <f>SUM(M124:T124)</f>
        <v>0</v>
      </c>
      <c r="V124" s="10" t="s">
        <v>93</v>
      </c>
      <c r="W124" s="536"/>
      <c r="X124" s="1471"/>
      <c r="Y124" s="968"/>
      <c r="Z124" s="994"/>
      <c r="AA124" s="1363"/>
      <c r="AB124" s="787"/>
      <c r="AC124" s="787"/>
      <c r="AD124" s="1415"/>
      <c r="AE124" s="1415"/>
      <c r="AF124" s="1389"/>
      <c r="AG124" s="1389"/>
      <c r="AH124" s="757"/>
      <c r="AI124" s="757"/>
      <c r="AJ124" s="10" t="s">
        <v>93</v>
      </c>
      <c r="AK124" s="536"/>
      <c r="AL124" s="536"/>
      <c r="AM124" s="1441"/>
      <c r="AN124" s="1441"/>
      <c r="AO124" s="731"/>
      <c r="AP124" s="731"/>
      <c r="AQ124" s="731"/>
      <c r="AR124" s="731"/>
      <c r="AS124" s="680"/>
      <c r="AT124" s="27"/>
      <c r="AU124" s="705"/>
      <c r="AV124" s="1019">
        <f t="shared" si="69"/>
        <v>3593651</v>
      </c>
      <c r="AW124" s="654"/>
    </row>
    <row r="125" spans="1:51" ht="16.5" thickBot="1">
      <c r="A125" s="1288" t="s">
        <v>94</v>
      </c>
      <c r="B125" s="1498"/>
      <c r="C125" s="1498"/>
      <c r="D125" s="1498"/>
      <c r="E125" s="1498"/>
      <c r="F125" s="1499">
        <f>SUM(B125:E125)</f>
        <v>0</v>
      </c>
      <c r="G125" s="1500"/>
      <c r="H125" s="1501"/>
      <c r="I125" s="1502"/>
      <c r="J125" s="1503"/>
      <c r="K125" s="1504"/>
      <c r="L125" s="1505">
        <v>50853063</v>
      </c>
      <c r="M125" s="1498"/>
      <c r="N125" s="1498"/>
      <c r="O125" s="1498"/>
      <c r="P125" s="1498"/>
      <c r="Q125" s="1498"/>
      <c r="R125" s="1498"/>
      <c r="S125" s="1498"/>
      <c r="T125" s="1498"/>
      <c r="U125" s="1499">
        <f>SUM(M125:T125)</f>
        <v>0</v>
      </c>
      <c r="V125" s="1288" t="s">
        <v>94</v>
      </c>
      <c r="W125" s="1500"/>
      <c r="X125" s="1506"/>
      <c r="Y125" s="1507"/>
      <c r="Z125" s="1508"/>
      <c r="AA125" s="1509"/>
      <c r="AB125" s="1510"/>
      <c r="AC125" s="1510"/>
      <c r="AD125" s="1511"/>
      <c r="AE125" s="1511"/>
      <c r="AF125" s="1512"/>
      <c r="AG125" s="1512"/>
      <c r="AH125" s="1513"/>
      <c r="AI125" s="1513"/>
      <c r="AJ125" s="1288" t="s">
        <v>94</v>
      </c>
      <c r="AK125" s="1500"/>
      <c r="AL125" s="1500"/>
      <c r="AM125" s="1514"/>
      <c r="AN125" s="1514"/>
      <c r="AO125" s="1515"/>
      <c r="AP125" s="1515"/>
      <c r="AQ125" s="1515"/>
      <c r="AR125" s="1515"/>
      <c r="AS125" s="1516"/>
      <c r="AT125" s="1293"/>
      <c r="AU125" s="1517"/>
      <c r="AV125" s="1020">
        <f t="shared" si="69"/>
        <v>50853063</v>
      </c>
      <c r="AW125" s="654"/>
    </row>
    <row r="126" spans="1:51" ht="16.5" thickBot="1">
      <c r="A126" s="528" t="s">
        <v>95</v>
      </c>
      <c r="B126" s="551">
        <f t="shared" ref="B126:L126" si="112">B123+B124+B125</f>
        <v>0</v>
      </c>
      <c r="C126" s="551">
        <f>C123+C124+C125</f>
        <v>0</v>
      </c>
      <c r="D126" s="551">
        <f>D123+D124+D125</f>
        <v>0</v>
      </c>
      <c r="E126" s="551">
        <f t="shared" si="112"/>
        <v>0</v>
      </c>
      <c r="F126" s="529">
        <f t="shared" si="112"/>
        <v>0</v>
      </c>
      <c r="G126" s="533">
        <f t="shared" si="112"/>
        <v>0</v>
      </c>
      <c r="H126" s="881">
        <f t="shared" si="112"/>
        <v>0</v>
      </c>
      <c r="I126" s="907">
        <f t="shared" si="112"/>
        <v>0</v>
      </c>
      <c r="J126" s="855">
        <f t="shared" si="112"/>
        <v>0</v>
      </c>
      <c r="K126" s="804">
        <f t="shared" si="112"/>
        <v>0</v>
      </c>
      <c r="L126" s="933">
        <f t="shared" si="112"/>
        <v>54446714</v>
      </c>
      <c r="M126" s="551">
        <f t="shared" ref="M126:U126" si="113">M123+M124+M125</f>
        <v>0</v>
      </c>
      <c r="N126" s="551">
        <f t="shared" si="113"/>
        <v>0</v>
      </c>
      <c r="O126" s="551">
        <f t="shared" si="113"/>
        <v>0</v>
      </c>
      <c r="P126" s="551">
        <f t="shared" si="113"/>
        <v>0</v>
      </c>
      <c r="Q126" s="551">
        <f t="shared" si="113"/>
        <v>0</v>
      </c>
      <c r="R126" s="551">
        <f t="shared" si="113"/>
        <v>0</v>
      </c>
      <c r="S126" s="551">
        <f t="shared" si="113"/>
        <v>0</v>
      </c>
      <c r="T126" s="551">
        <f t="shared" si="113"/>
        <v>0</v>
      </c>
      <c r="U126" s="529">
        <f t="shared" si="113"/>
        <v>0</v>
      </c>
      <c r="V126" s="528" t="s">
        <v>95</v>
      </c>
      <c r="W126" s="533">
        <f>W123+W124+W125</f>
        <v>0</v>
      </c>
      <c r="X126" s="1462">
        <f t="shared" ref="X126:AR126" si="114">X123+X124+X125</f>
        <v>0</v>
      </c>
      <c r="Y126" s="959">
        <f t="shared" si="114"/>
        <v>0</v>
      </c>
      <c r="Z126" s="985">
        <f t="shared" si="114"/>
        <v>0</v>
      </c>
      <c r="AA126" s="1354">
        <f t="shared" si="114"/>
        <v>0</v>
      </c>
      <c r="AB126" s="778">
        <f t="shared" si="114"/>
        <v>0</v>
      </c>
      <c r="AC126" s="778">
        <f t="shared" si="114"/>
        <v>0</v>
      </c>
      <c r="AD126" s="1406">
        <f t="shared" si="114"/>
        <v>0</v>
      </c>
      <c r="AE126" s="1406">
        <f t="shared" si="114"/>
        <v>0</v>
      </c>
      <c r="AF126" s="1380">
        <f>AF123+AF124+AF125</f>
        <v>0</v>
      </c>
      <c r="AG126" s="1380">
        <f>AG123+AG124+AG125</f>
        <v>0</v>
      </c>
      <c r="AH126" s="748">
        <f>AH123+AH124+AH125</f>
        <v>0</v>
      </c>
      <c r="AI126" s="748">
        <f>AI123+AI124+AI125</f>
        <v>0</v>
      </c>
      <c r="AJ126" s="528" t="s">
        <v>95</v>
      </c>
      <c r="AK126" s="533">
        <f>AK123+AK124+AK125</f>
        <v>0</v>
      </c>
      <c r="AL126" s="533">
        <f>AL123+AL124+AL125</f>
        <v>0</v>
      </c>
      <c r="AM126" s="1432">
        <f>AM123+AM124+AM125</f>
        <v>0</v>
      </c>
      <c r="AN126" s="1432">
        <f>AN123+AN124+AN125</f>
        <v>0</v>
      </c>
      <c r="AO126" s="722">
        <f t="shared" si="114"/>
        <v>0</v>
      </c>
      <c r="AP126" s="722">
        <f t="shared" si="114"/>
        <v>0</v>
      </c>
      <c r="AQ126" s="722">
        <f>AQ123+AQ124+AQ125</f>
        <v>0</v>
      </c>
      <c r="AR126" s="722">
        <f t="shared" si="114"/>
        <v>0</v>
      </c>
      <c r="AS126" s="672"/>
      <c r="AT126" s="574">
        <f>AT123+AT124+AT125</f>
        <v>0</v>
      </c>
      <c r="AU126" s="696">
        <f>AU123+AU124+AU125</f>
        <v>600000</v>
      </c>
      <c r="AV126" s="25">
        <f>SUM(B126:AU126)-SUM(M126:T126)-SUM(B126:E126)</f>
        <v>55046714</v>
      </c>
      <c r="AW126" s="654"/>
    </row>
    <row r="127" spans="1:51" ht="16.5" thickBot="1">
      <c r="A127" s="13" t="s">
        <v>96</v>
      </c>
      <c r="B127" s="577">
        <f t="shared" ref="B127:L127" si="115">B126</f>
        <v>0</v>
      </c>
      <c r="C127" s="577">
        <f>C126</f>
        <v>0</v>
      </c>
      <c r="D127" s="577">
        <f>D126</f>
        <v>0</v>
      </c>
      <c r="E127" s="577">
        <f t="shared" si="115"/>
        <v>0</v>
      </c>
      <c r="F127" s="578">
        <f t="shared" si="115"/>
        <v>0</v>
      </c>
      <c r="G127" s="579">
        <f t="shared" si="115"/>
        <v>0</v>
      </c>
      <c r="H127" s="886">
        <f t="shared" si="115"/>
        <v>0</v>
      </c>
      <c r="I127" s="912">
        <f t="shared" si="115"/>
        <v>0</v>
      </c>
      <c r="J127" s="860">
        <f t="shared" si="115"/>
        <v>0</v>
      </c>
      <c r="K127" s="809">
        <f t="shared" si="115"/>
        <v>0</v>
      </c>
      <c r="L127" s="938">
        <f t="shared" si="115"/>
        <v>54446714</v>
      </c>
      <c r="M127" s="577">
        <f t="shared" ref="M127:U127" si="116">M126</f>
        <v>0</v>
      </c>
      <c r="N127" s="577">
        <f t="shared" si="116"/>
        <v>0</v>
      </c>
      <c r="O127" s="577">
        <f t="shared" si="116"/>
        <v>0</v>
      </c>
      <c r="P127" s="577">
        <f t="shared" si="116"/>
        <v>0</v>
      </c>
      <c r="Q127" s="577">
        <f t="shared" si="116"/>
        <v>0</v>
      </c>
      <c r="R127" s="577">
        <f t="shared" si="116"/>
        <v>0</v>
      </c>
      <c r="S127" s="577">
        <f t="shared" si="116"/>
        <v>0</v>
      </c>
      <c r="T127" s="577">
        <f t="shared" si="116"/>
        <v>0</v>
      </c>
      <c r="U127" s="578">
        <f t="shared" si="116"/>
        <v>0</v>
      </c>
      <c r="V127" s="13" t="s">
        <v>96</v>
      </c>
      <c r="W127" s="579">
        <f>W126</f>
        <v>0</v>
      </c>
      <c r="X127" s="1467">
        <f t="shared" ref="X127:AR127" si="117">X126</f>
        <v>0</v>
      </c>
      <c r="Y127" s="964">
        <f t="shared" si="117"/>
        <v>0</v>
      </c>
      <c r="Z127" s="990">
        <f t="shared" si="117"/>
        <v>0</v>
      </c>
      <c r="AA127" s="1359">
        <f t="shared" si="117"/>
        <v>0</v>
      </c>
      <c r="AB127" s="783">
        <f t="shared" si="117"/>
        <v>0</v>
      </c>
      <c r="AC127" s="783">
        <f t="shared" si="117"/>
        <v>0</v>
      </c>
      <c r="AD127" s="1411">
        <f t="shared" si="117"/>
        <v>0</v>
      </c>
      <c r="AE127" s="1411">
        <f t="shared" si="117"/>
        <v>0</v>
      </c>
      <c r="AF127" s="1385">
        <f>AF126</f>
        <v>0</v>
      </c>
      <c r="AG127" s="1385">
        <f>AG126</f>
        <v>0</v>
      </c>
      <c r="AH127" s="753">
        <f>AH126</f>
        <v>0</v>
      </c>
      <c r="AI127" s="753">
        <f>AI126</f>
        <v>0</v>
      </c>
      <c r="AJ127" s="13" t="s">
        <v>96</v>
      </c>
      <c r="AK127" s="579">
        <f>AK126</f>
        <v>0</v>
      </c>
      <c r="AL127" s="579">
        <f>AL126</f>
        <v>0</v>
      </c>
      <c r="AM127" s="1437">
        <f>AM126</f>
        <v>0</v>
      </c>
      <c r="AN127" s="1437">
        <f>AN126</f>
        <v>0</v>
      </c>
      <c r="AO127" s="727">
        <f t="shared" si="117"/>
        <v>0</v>
      </c>
      <c r="AP127" s="727">
        <f t="shared" si="117"/>
        <v>0</v>
      </c>
      <c r="AQ127" s="727">
        <f>AQ126</f>
        <v>0</v>
      </c>
      <c r="AR127" s="727">
        <f t="shared" si="117"/>
        <v>0</v>
      </c>
      <c r="AS127" s="676"/>
      <c r="AT127" s="633">
        <f>AT126</f>
        <v>0</v>
      </c>
      <c r="AU127" s="701">
        <f>AU126</f>
        <v>600000</v>
      </c>
      <c r="AV127" s="1518">
        <f t="shared" si="69"/>
        <v>55046714</v>
      </c>
      <c r="AW127" s="654"/>
    </row>
    <row r="128" spans="1:51" ht="19.5" thickBot="1">
      <c r="A128" s="17" t="s">
        <v>97</v>
      </c>
      <c r="B128" s="18">
        <f t="shared" ref="B128:U128" si="118">B18+B26+B82+B97+B107+B113+B118+B121+B127</f>
        <v>1291374</v>
      </c>
      <c r="C128" s="18">
        <f t="shared" si="118"/>
        <v>168350</v>
      </c>
      <c r="D128" s="18">
        <f t="shared" si="118"/>
        <v>42000</v>
      </c>
      <c r="E128" s="18">
        <f t="shared" si="118"/>
        <v>20792292</v>
      </c>
      <c r="F128" s="19">
        <f t="shared" si="118"/>
        <v>30875296</v>
      </c>
      <c r="G128" s="20">
        <f t="shared" si="118"/>
        <v>12107960.289999999</v>
      </c>
      <c r="H128" s="20">
        <f t="shared" si="118"/>
        <v>137160</v>
      </c>
      <c r="I128" s="20">
        <f t="shared" si="118"/>
        <v>29889500</v>
      </c>
      <c r="J128" s="20">
        <f t="shared" si="118"/>
        <v>132500</v>
      </c>
      <c r="K128" s="20">
        <f t="shared" si="118"/>
        <v>0</v>
      </c>
      <c r="L128" s="20">
        <f t="shared" si="118"/>
        <v>56619014</v>
      </c>
      <c r="M128" s="18">
        <f t="shared" si="118"/>
        <v>265992</v>
      </c>
      <c r="N128" s="18">
        <f t="shared" si="118"/>
        <v>265992</v>
      </c>
      <c r="O128" s="18">
        <f t="shared" si="118"/>
        <v>265992</v>
      </c>
      <c r="P128" s="18">
        <f t="shared" si="118"/>
        <v>265992</v>
      </c>
      <c r="Q128" s="18">
        <f t="shared" si="118"/>
        <v>265992</v>
      </c>
      <c r="R128" s="18">
        <f t="shared" si="118"/>
        <v>265992</v>
      </c>
      <c r="S128" s="18">
        <f t="shared" si="118"/>
        <v>54262.675000000003</v>
      </c>
      <c r="T128" s="18">
        <f t="shared" si="118"/>
        <v>0</v>
      </c>
      <c r="U128" s="19">
        <f t="shared" si="118"/>
        <v>1650214.675</v>
      </c>
      <c r="V128" s="17" t="s">
        <v>97</v>
      </c>
      <c r="W128" s="20">
        <f t="shared" ref="W128:AI128" si="119">W18+W26+W82+W97+W107+W113+W118+W121+W127</f>
        <v>41527750</v>
      </c>
      <c r="X128" s="20">
        <f t="shared" si="119"/>
        <v>750000</v>
      </c>
      <c r="Y128" s="20">
        <f t="shared" si="119"/>
        <v>4876800</v>
      </c>
      <c r="Z128" s="20">
        <f t="shared" si="119"/>
        <v>3772652.7</v>
      </c>
      <c r="AA128" s="20">
        <f t="shared" si="119"/>
        <v>2189582.5</v>
      </c>
      <c r="AB128" s="20">
        <f t="shared" si="119"/>
        <v>13375567.699999999</v>
      </c>
      <c r="AC128" s="20">
        <f t="shared" si="119"/>
        <v>0</v>
      </c>
      <c r="AD128" s="20">
        <f t="shared" si="119"/>
        <v>0</v>
      </c>
      <c r="AE128" s="20">
        <f t="shared" si="119"/>
        <v>0</v>
      </c>
      <c r="AF128" s="20">
        <f t="shared" si="119"/>
        <v>69850</v>
      </c>
      <c r="AG128" s="20">
        <f t="shared" si="119"/>
        <v>7236234.6749999998</v>
      </c>
      <c r="AH128" s="20">
        <f t="shared" si="119"/>
        <v>5534267.7000000002</v>
      </c>
      <c r="AI128" s="20">
        <f t="shared" si="119"/>
        <v>15601500.050000001</v>
      </c>
      <c r="AJ128" s="17" t="s">
        <v>97</v>
      </c>
      <c r="AK128" s="20">
        <f t="shared" ref="AK128:AU128" si="120">AK18+AK26+AK82+AK97+AK107+AK113+AK118+AK121+AK127</f>
        <v>2070000</v>
      </c>
      <c r="AL128" s="20">
        <f t="shared" si="120"/>
        <v>450000</v>
      </c>
      <c r="AM128" s="20">
        <f t="shared" si="120"/>
        <v>72000</v>
      </c>
      <c r="AN128" s="20">
        <f t="shared" si="120"/>
        <v>1598500</v>
      </c>
      <c r="AO128" s="20">
        <f t="shared" si="120"/>
        <v>0</v>
      </c>
      <c r="AP128" s="20">
        <f t="shared" si="120"/>
        <v>0</v>
      </c>
      <c r="AQ128" s="20">
        <f t="shared" si="120"/>
        <v>3764805.2</v>
      </c>
      <c r="AR128" s="20">
        <f t="shared" si="120"/>
        <v>2895720</v>
      </c>
      <c r="AS128" s="649">
        <f t="shared" si="120"/>
        <v>0</v>
      </c>
      <c r="AT128" s="19">
        <f t="shared" si="120"/>
        <v>0</v>
      </c>
      <c r="AU128" s="20">
        <f t="shared" si="120"/>
        <v>600000</v>
      </c>
      <c r="AV128" s="1004">
        <f>SUM(B128:AU128)-SUM(M128:T128)-SUM(B128:E128)</f>
        <v>237796875.48999998</v>
      </c>
      <c r="AW128" s="654">
        <f>AV18+AV26+AV82+AV97+AV107+AV113+AV118+AV121+AV127</f>
        <v>237796875.48999998</v>
      </c>
      <c r="AX128" s="654">
        <f>AV128-AW128</f>
        <v>0</v>
      </c>
      <c r="AY128" s="1012"/>
    </row>
    <row r="129" spans="1:49" ht="76.5" customHeight="1">
      <c r="A129" s="1733" t="s">
        <v>673</v>
      </c>
      <c r="B129" s="1724" t="s">
        <v>158</v>
      </c>
      <c r="C129" s="1725"/>
      <c r="D129" s="1725"/>
      <c r="E129" s="1725"/>
      <c r="F129" s="1726"/>
      <c r="G129" s="1703" t="s">
        <v>618</v>
      </c>
      <c r="H129" s="1734" t="s">
        <v>726</v>
      </c>
      <c r="I129" s="1736" t="s">
        <v>727</v>
      </c>
      <c r="J129" s="1738" t="s">
        <v>637</v>
      </c>
      <c r="K129" s="1744" t="s">
        <v>616</v>
      </c>
      <c r="L129" s="1746" t="s">
        <v>617</v>
      </c>
      <c r="M129" s="1724" t="s">
        <v>656</v>
      </c>
      <c r="N129" s="1725"/>
      <c r="O129" s="1725"/>
      <c r="P129" s="1725"/>
      <c r="Q129" s="1725"/>
      <c r="R129" s="1725"/>
      <c r="S129" s="1725"/>
      <c r="T129" s="1725"/>
      <c r="U129" s="1726"/>
      <c r="V129" s="1733" t="s">
        <v>673</v>
      </c>
      <c r="W129" s="1703" t="s">
        <v>707</v>
      </c>
      <c r="X129" s="1740" t="s">
        <v>754</v>
      </c>
      <c r="Y129" s="1742" t="s">
        <v>619</v>
      </c>
      <c r="Z129" s="1705" t="s">
        <v>721</v>
      </c>
      <c r="AA129" s="1707" t="s">
        <v>723</v>
      </c>
      <c r="AB129" s="1729" t="s">
        <v>719</v>
      </c>
      <c r="AC129" s="1729" t="s">
        <v>622</v>
      </c>
      <c r="AD129" s="1731" t="s">
        <v>620</v>
      </c>
      <c r="AE129" s="1731" t="s">
        <v>621</v>
      </c>
      <c r="AF129" s="1709" t="s">
        <v>711</v>
      </c>
      <c r="AG129" s="1709" t="s">
        <v>712</v>
      </c>
      <c r="AH129" s="1722" t="s">
        <v>708</v>
      </c>
      <c r="AI129" s="1722" t="s">
        <v>615</v>
      </c>
      <c r="AJ129" s="1733" t="s">
        <v>673</v>
      </c>
      <c r="AK129" s="1703" t="s">
        <v>623</v>
      </c>
      <c r="AL129" s="1703" t="s">
        <v>728</v>
      </c>
      <c r="AM129" s="1701" t="s">
        <v>729</v>
      </c>
      <c r="AN129" s="1701" t="s">
        <v>730</v>
      </c>
      <c r="AO129" s="1720" t="s">
        <v>624</v>
      </c>
      <c r="AP129" s="1720" t="s">
        <v>639</v>
      </c>
      <c r="AQ129" s="1720" t="s">
        <v>720</v>
      </c>
      <c r="AR129" s="1720" t="s">
        <v>625</v>
      </c>
      <c r="AS129" s="1749" t="s">
        <v>614</v>
      </c>
      <c r="AT129" s="1750"/>
      <c r="AU129" s="1727" t="s">
        <v>626</v>
      </c>
      <c r="AV129" s="1748" t="s">
        <v>12</v>
      </c>
    </row>
    <row r="130" spans="1:49" ht="60.75" thickBot="1">
      <c r="A130" s="1715"/>
      <c r="B130" s="613" t="s">
        <v>716</v>
      </c>
      <c r="C130" s="613" t="s">
        <v>718</v>
      </c>
      <c r="D130" s="613" t="s">
        <v>724</v>
      </c>
      <c r="E130" s="613" t="s">
        <v>177</v>
      </c>
      <c r="F130" s="614" t="s">
        <v>12</v>
      </c>
      <c r="G130" s="1704"/>
      <c r="H130" s="1735"/>
      <c r="I130" s="1737"/>
      <c r="J130" s="1739"/>
      <c r="K130" s="1745"/>
      <c r="L130" s="1747"/>
      <c r="M130" s="613" t="s">
        <v>709</v>
      </c>
      <c r="N130" s="613" t="s">
        <v>713</v>
      </c>
      <c r="O130" s="613" t="s">
        <v>714</v>
      </c>
      <c r="P130" s="613" t="s">
        <v>715</v>
      </c>
      <c r="Q130" s="613" t="s">
        <v>717</v>
      </c>
      <c r="R130" s="613" t="s">
        <v>722</v>
      </c>
      <c r="S130" s="613" t="s">
        <v>725</v>
      </c>
      <c r="T130" s="613" t="s">
        <v>177</v>
      </c>
      <c r="U130" s="614" t="s">
        <v>12</v>
      </c>
      <c r="V130" s="1715"/>
      <c r="W130" s="1704"/>
      <c r="X130" s="1741"/>
      <c r="Y130" s="1743"/>
      <c r="Z130" s="1706"/>
      <c r="AA130" s="1708"/>
      <c r="AB130" s="1730"/>
      <c r="AC130" s="1730"/>
      <c r="AD130" s="1732"/>
      <c r="AE130" s="1732"/>
      <c r="AF130" s="1710"/>
      <c r="AG130" s="1710"/>
      <c r="AH130" s="1723"/>
      <c r="AI130" s="1723"/>
      <c r="AJ130" s="1715"/>
      <c r="AK130" s="1704"/>
      <c r="AL130" s="1704"/>
      <c r="AM130" s="1702"/>
      <c r="AN130" s="1702"/>
      <c r="AO130" s="1721"/>
      <c r="AP130" s="1721"/>
      <c r="AQ130" s="1721"/>
      <c r="AR130" s="1721"/>
      <c r="AS130" s="662" t="s">
        <v>608</v>
      </c>
      <c r="AT130" s="625" t="s">
        <v>12</v>
      </c>
      <c r="AU130" s="1728"/>
      <c r="AV130" s="1719"/>
      <c r="AW130" s="652"/>
    </row>
    <row r="131" spans="1:49" ht="30">
      <c r="A131" s="14" t="s">
        <v>98</v>
      </c>
      <c r="B131" s="573"/>
      <c r="C131" s="573"/>
      <c r="D131" s="573"/>
      <c r="E131" s="573"/>
      <c r="F131" s="24">
        <f t="shared" ref="F131:F136" si="121">SUM(B131:E131)</f>
        <v>0</v>
      </c>
      <c r="G131" s="542"/>
      <c r="H131" s="888"/>
      <c r="I131" s="914"/>
      <c r="J131" s="862"/>
      <c r="K131" s="808">
        <v>36492592</v>
      </c>
      <c r="L131" s="940"/>
      <c r="M131" s="573"/>
      <c r="N131" s="573"/>
      <c r="O131" s="573"/>
      <c r="P131" s="573"/>
      <c r="Q131" s="573"/>
      <c r="R131" s="573"/>
      <c r="S131" s="573"/>
      <c r="T131" s="573"/>
      <c r="U131" s="24">
        <f t="shared" ref="U131:U136" si="122">SUM(M131:T131)</f>
        <v>0</v>
      </c>
      <c r="V131" s="14" t="s">
        <v>98</v>
      </c>
      <c r="W131" s="542"/>
      <c r="X131" s="1469"/>
      <c r="Y131" s="966"/>
      <c r="Z131" s="992"/>
      <c r="AA131" s="1361"/>
      <c r="AB131" s="785"/>
      <c r="AC131" s="785"/>
      <c r="AD131" s="1413"/>
      <c r="AE131" s="1413"/>
      <c r="AF131" s="1387"/>
      <c r="AG131" s="1387"/>
      <c r="AH131" s="755"/>
      <c r="AI131" s="755"/>
      <c r="AJ131" s="14" t="s">
        <v>98</v>
      </c>
      <c r="AK131" s="542"/>
      <c r="AL131" s="542"/>
      <c r="AM131" s="1439"/>
      <c r="AN131" s="1439"/>
      <c r="AO131" s="729"/>
      <c r="AP131" s="729"/>
      <c r="AQ131" s="729"/>
      <c r="AR131" s="729"/>
      <c r="AS131" s="678"/>
      <c r="AT131" s="635"/>
      <c r="AU131" s="703"/>
      <c r="AV131" s="25">
        <f t="shared" si="69"/>
        <v>36492592</v>
      </c>
      <c r="AW131" s="654"/>
    </row>
    <row r="132" spans="1:49" ht="30">
      <c r="A132" s="10" t="s">
        <v>99</v>
      </c>
      <c r="B132" s="549"/>
      <c r="C132" s="549"/>
      <c r="D132" s="549"/>
      <c r="E132" s="549"/>
      <c r="F132" s="23">
        <f t="shared" si="121"/>
        <v>0</v>
      </c>
      <c r="G132" s="536"/>
      <c r="H132" s="890"/>
      <c r="I132" s="916"/>
      <c r="J132" s="864"/>
      <c r="K132" s="807">
        <v>26837550</v>
      </c>
      <c r="L132" s="942"/>
      <c r="M132" s="549"/>
      <c r="N132" s="549"/>
      <c r="O132" s="549"/>
      <c r="P132" s="549"/>
      <c r="Q132" s="549"/>
      <c r="R132" s="549"/>
      <c r="S132" s="549"/>
      <c r="T132" s="549"/>
      <c r="U132" s="23">
        <f t="shared" si="122"/>
        <v>0</v>
      </c>
      <c r="V132" s="10" t="s">
        <v>99</v>
      </c>
      <c r="W132" s="536"/>
      <c r="X132" s="1471"/>
      <c r="Y132" s="968"/>
      <c r="Z132" s="994"/>
      <c r="AA132" s="1363"/>
      <c r="AB132" s="787"/>
      <c r="AC132" s="787"/>
      <c r="AD132" s="1415"/>
      <c r="AE132" s="1415"/>
      <c r="AF132" s="1389"/>
      <c r="AG132" s="1389"/>
      <c r="AH132" s="757"/>
      <c r="AI132" s="757"/>
      <c r="AJ132" s="10" t="s">
        <v>99</v>
      </c>
      <c r="AK132" s="536"/>
      <c r="AL132" s="536"/>
      <c r="AM132" s="1441"/>
      <c r="AN132" s="1441"/>
      <c r="AO132" s="731"/>
      <c r="AP132" s="731"/>
      <c r="AQ132" s="731"/>
      <c r="AR132" s="731"/>
      <c r="AS132" s="680"/>
      <c r="AT132" s="27"/>
      <c r="AU132" s="705"/>
      <c r="AV132" s="1019">
        <f t="shared" si="69"/>
        <v>26837550</v>
      </c>
      <c r="AW132" s="654"/>
    </row>
    <row r="133" spans="1:49" ht="60">
      <c r="A133" s="10" t="s">
        <v>100</v>
      </c>
      <c r="B133" s="549"/>
      <c r="C133" s="549"/>
      <c r="D133" s="549"/>
      <c r="E133" s="549"/>
      <c r="F133" s="23">
        <f t="shared" si="121"/>
        <v>0</v>
      </c>
      <c r="G133" s="536"/>
      <c r="H133" s="890"/>
      <c r="I133" s="916"/>
      <c r="J133" s="864"/>
      <c r="K133" s="798">
        <f>6251578+4250000+6864000+7101972+153330</f>
        <v>24620880</v>
      </c>
      <c r="L133" s="942"/>
      <c r="M133" s="549"/>
      <c r="N133" s="549"/>
      <c r="O133" s="549"/>
      <c r="P133" s="549"/>
      <c r="Q133" s="549"/>
      <c r="R133" s="549"/>
      <c r="S133" s="549"/>
      <c r="T133" s="549"/>
      <c r="U133" s="23">
        <f t="shared" si="122"/>
        <v>0</v>
      </c>
      <c r="V133" s="10" t="s">
        <v>100</v>
      </c>
      <c r="W133" s="536"/>
      <c r="X133" s="1471"/>
      <c r="Y133" s="968"/>
      <c r="Z133" s="994"/>
      <c r="AA133" s="1363"/>
      <c r="AB133" s="787"/>
      <c r="AC133" s="787"/>
      <c r="AD133" s="1415"/>
      <c r="AE133" s="1415"/>
      <c r="AF133" s="1389"/>
      <c r="AG133" s="1389"/>
      <c r="AH133" s="757"/>
      <c r="AI133" s="757"/>
      <c r="AJ133" s="10" t="s">
        <v>100</v>
      </c>
      <c r="AK133" s="536"/>
      <c r="AL133" s="536"/>
      <c r="AM133" s="1441"/>
      <c r="AN133" s="1441"/>
      <c r="AO133" s="731"/>
      <c r="AP133" s="731"/>
      <c r="AQ133" s="731"/>
      <c r="AR133" s="731"/>
      <c r="AS133" s="680"/>
      <c r="AT133" s="27"/>
      <c r="AU133" s="705"/>
      <c r="AV133" s="1019">
        <f t="shared" si="69"/>
        <v>24620880</v>
      </c>
      <c r="AW133" s="654"/>
    </row>
    <row r="134" spans="1:49" ht="30">
      <c r="A134" s="10" t="s">
        <v>101</v>
      </c>
      <c r="B134" s="549"/>
      <c r="C134" s="549"/>
      <c r="D134" s="549"/>
      <c r="E134" s="549"/>
      <c r="F134" s="23">
        <f t="shared" si="121"/>
        <v>0</v>
      </c>
      <c r="G134" s="536"/>
      <c r="H134" s="890"/>
      <c r="I134" s="916"/>
      <c r="J134" s="864"/>
      <c r="K134" s="798">
        <v>1890261</v>
      </c>
      <c r="L134" s="942"/>
      <c r="M134" s="549"/>
      <c r="N134" s="549"/>
      <c r="O134" s="549"/>
      <c r="P134" s="549"/>
      <c r="Q134" s="549"/>
      <c r="R134" s="549"/>
      <c r="S134" s="549"/>
      <c r="T134" s="549"/>
      <c r="U134" s="23">
        <f t="shared" si="122"/>
        <v>0</v>
      </c>
      <c r="V134" s="10" t="s">
        <v>101</v>
      </c>
      <c r="W134" s="536"/>
      <c r="X134" s="1471"/>
      <c r="Y134" s="968"/>
      <c r="Z134" s="994"/>
      <c r="AA134" s="1363"/>
      <c r="AB134" s="787"/>
      <c r="AC134" s="787"/>
      <c r="AD134" s="1415"/>
      <c r="AE134" s="1415"/>
      <c r="AF134" s="1389"/>
      <c r="AG134" s="1389"/>
      <c r="AH134" s="757"/>
      <c r="AI134" s="757"/>
      <c r="AJ134" s="10" t="s">
        <v>101</v>
      </c>
      <c r="AK134" s="536"/>
      <c r="AL134" s="536"/>
      <c r="AM134" s="1441"/>
      <c r="AN134" s="1441"/>
      <c r="AO134" s="731"/>
      <c r="AP134" s="731"/>
      <c r="AQ134" s="731"/>
      <c r="AR134" s="731"/>
      <c r="AS134" s="680"/>
      <c r="AT134" s="27"/>
      <c r="AU134" s="705"/>
      <c r="AV134" s="1019">
        <f t="shared" si="69"/>
        <v>1890261</v>
      </c>
      <c r="AW134" s="654"/>
    </row>
    <row r="135" spans="1:49" ht="30">
      <c r="A135" s="10" t="s">
        <v>102</v>
      </c>
      <c r="B135" s="549"/>
      <c r="C135" s="549"/>
      <c r="D135" s="549"/>
      <c r="E135" s="549"/>
      <c r="F135" s="23">
        <f t="shared" si="121"/>
        <v>0</v>
      </c>
      <c r="G135" s="536"/>
      <c r="H135" s="890"/>
      <c r="I135" s="916"/>
      <c r="J135" s="864"/>
      <c r="K135" s="813"/>
      <c r="L135" s="942"/>
      <c r="M135" s="549"/>
      <c r="N135" s="549"/>
      <c r="O135" s="549"/>
      <c r="P135" s="549"/>
      <c r="Q135" s="549"/>
      <c r="R135" s="549"/>
      <c r="S135" s="549"/>
      <c r="T135" s="549"/>
      <c r="U135" s="23">
        <f t="shared" si="122"/>
        <v>0</v>
      </c>
      <c r="V135" s="10" t="s">
        <v>102</v>
      </c>
      <c r="W135" s="536"/>
      <c r="X135" s="1471"/>
      <c r="Y135" s="968"/>
      <c r="Z135" s="994"/>
      <c r="AA135" s="1363"/>
      <c r="AB135" s="787"/>
      <c r="AC135" s="787"/>
      <c r="AD135" s="1415"/>
      <c r="AE135" s="1415"/>
      <c r="AF135" s="1389"/>
      <c r="AG135" s="1389"/>
      <c r="AH135" s="757"/>
      <c r="AI135" s="757"/>
      <c r="AJ135" s="10" t="s">
        <v>102</v>
      </c>
      <c r="AK135" s="536"/>
      <c r="AL135" s="536"/>
      <c r="AM135" s="1441"/>
      <c r="AN135" s="1441"/>
      <c r="AO135" s="731"/>
      <c r="AP135" s="731"/>
      <c r="AQ135" s="731"/>
      <c r="AR135" s="731"/>
      <c r="AS135" s="680"/>
      <c r="AT135" s="27"/>
      <c r="AU135" s="705"/>
      <c r="AV135" s="1019">
        <f t="shared" si="69"/>
        <v>0</v>
      </c>
      <c r="AW135" s="654"/>
    </row>
    <row r="136" spans="1:49" ht="30">
      <c r="A136" s="10" t="s">
        <v>103</v>
      </c>
      <c r="B136" s="549"/>
      <c r="C136" s="549"/>
      <c r="D136" s="549"/>
      <c r="E136" s="549"/>
      <c r="F136" s="23">
        <f t="shared" si="121"/>
        <v>0</v>
      </c>
      <c r="G136" s="536"/>
      <c r="H136" s="890"/>
      <c r="I136" s="916"/>
      <c r="J136" s="864"/>
      <c r="K136" s="813"/>
      <c r="L136" s="942"/>
      <c r="M136" s="549"/>
      <c r="N136" s="549"/>
      <c r="O136" s="549"/>
      <c r="P136" s="549"/>
      <c r="Q136" s="549"/>
      <c r="R136" s="549"/>
      <c r="S136" s="549"/>
      <c r="T136" s="549"/>
      <c r="U136" s="23">
        <f t="shared" si="122"/>
        <v>0</v>
      </c>
      <c r="V136" s="10" t="s">
        <v>103</v>
      </c>
      <c r="W136" s="536"/>
      <c r="X136" s="1471"/>
      <c r="Y136" s="968"/>
      <c r="Z136" s="994"/>
      <c r="AA136" s="1363"/>
      <c r="AB136" s="787"/>
      <c r="AC136" s="787"/>
      <c r="AD136" s="1415"/>
      <c r="AE136" s="1415"/>
      <c r="AF136" s="1389"/>
      <c r="AG136" s="1389"/>
      <c r="AH136" s="757"/>
      <c r="AI136" s="757"/>
      <c r="AJ136" s="10" t="s">
        <v>103</v>
      </c>
      <c r="AK136" s="536"/>
      <c r="AL136" s="536"/>
      <c r="AM136" s="1441"/>
      <c r="AN136" s="1441"/>
      <c r="AO136" s="731"/>
      <c r="AP136" s="731"/>
      <c r="AQ136" s="731"/>
      <c r="AR136" s="731"/>
      <c r="AS136" s="680"/>
      <c r="AT136" s="27"/>
      <c r="AU136" s="705"/>
      <c r="AV136" s="1019">
        <f t="shared" si="69"/>
        <v>0</v>
      </c>
      <c r="AW136" s="654"/>
    </row>
    <row r="137" spans="1:49" ht="30">
      <c r="A137" s="11" t="s">
        <v>104</v>
      </c>
      <c r="B137" s="552">
        <f t="shared" ref="B137:L137" si="123">SUM(B131:B136)</f>
        <v>0</v>
      </c>
      <c r="C137" s="552">
        <f>SUM(C131:C136)</f>
        <v>0</v>
      </c>
      <c r="D137" s="552">
        <f>SUM(D131:D136)</f>
        <v>0</v>
      </c>
      <c r="E137" s="552">
        <f t="shared" si="123"/>
        <v>0</v>
      </c>
      <c r="F137" s="28">
        <f t="shared" si="123"/>
        <v>0</v>
      </c>
      <c r="G137" s="537">
        <f t="shared" si="123"/>
        <v>0</v>
      </c>
      <c r="H137" s="889">
        <f t="shared" si="123"/>
        <v>0</v>
      </c>
      <c r="I137" s="915">
        <f t="shared" si="123"/>
        <v>0</v>
      </c>
      <c r="J137" s="863">
        <f t="shared" si="123"/>
        <v>0</v>
      </c>
      <c r="K137" s="812">
        <f t="shared" si="123"/>
        <v>89841283</v>
      </c>
      <c r="L137" s="941">
        <f t="shared" si="123"/>
        <v>0</v>
      </c>
      <c r="M137" s="552">
        <f t="shared" ref="M137:U137" si="124">SUM(M131:M136)</f>
        <v>0</v>
      </c>
      <c r="N137" s="552">
        <f t="shared" si="124"/>
        <v>0</v>
      </c>
      <c r="O137" s="552">
        <f t="shared" si="124"/>
        <v>0</v>
      </c>
      <c r="P137" s="552">
        <f t="shared" si="124"/>
        <v>0</v>
      </c>
      <c r="Q137" s="552">
        <f t="shared" si="124"/>
        <v>0</v>
      </c>
      <c r="R137" s="552">
        <f t="shared" si="124"/>
        <v>0</v>
      </c>
      <c r="S137" s="552">
        <f t="shared" si="124"/>
        <v>0</v>
      </c>
      <c r="T137" s="552">
        <f t="shared" si="124"/>
        <v>0</v>
      </c>
      <c r="U137" s="28">
        <f t="shared" si="124"/>
        <v>0</v>
      </c>
      <c r="V137" s="11" t="s">
        <v>104</v>
      </c>
      <c r="W137" s="537">
        <f>SUM(W131:W136)</f>
        <v>0</v>
      </c>
      <c r="X137" s="1470">
        <f t="shared" ref="X137:AR137" si="125">SUM(X131:X136)</f>
        <v>0</v>
      </c>
      <c r="Y137" s="967">
        <f t="shared" si="125"/>
        <v>0</v>
      </c>
      <c r="Z137" s="993">
        <f t="shared" si="125"/>
        <v>0</v>
      </c>
      <c r="AA137" s="1362">
        <f t="shared" si="125"/>
        <v>0</v>
      </c>
      <c r="AB137" s="786">
        <f t="shared" si="125"/>
        <v>0</v>
      </c>
      <c r="AC137" s="786">
        <f t="shared" si="125"/>
        <v>0</v>
      </c>
      <c r="AD137" s="1414">
        <f t="shared" si="125"/>
        <v>0</v>
      </c>
      <c r="AE137" s="1414">
        <f t="shared" si="125"/>
        <v>0</v>
      </c>
      <c r="AF137" s="1388">
        <f>SUM(AF131:AF136)</f>
        <v>0</v>
      </c>
      <c r="AG137" s="1388">
        <f>SUM(AG131:AG136)</f>
        <v>0</v>
      </c>
      <c r="AH137" s="756">
        <f>SUM(AH131:AH136)</f>
        <v>0</v>
      </c>
      <c r="AI137" s="756">
        <f>SUM(AI131:AI136)</f>
        <v>0</v>
      </c>
      <c r="AJ137" s="11" t="s">
        <v>104</v>
      </c>
      <c r="AK137" s="537">
        <f>SUM(AK131:AK136)</f>
        <v>0</v>
      </c>
      <c r="AL137" s="537">
        <f>SUM(AL131:AL136)</f>
        <v>0</v>
      </c>
      <c r="AM137" s="1440">
        <f>SUM(AM131:AM136)</f>
        <v>0</v>
      </c>
      <c r="AN137" s="1440">
        <f>SUM(AN131:AN136)</f>
        <v>0</v>
      </c>
      <c r="AO137" s="730">
        <f t="shared" si="125"/>
        <v>0</v>
      </c>
      <c r="AP137" s="730">
        <f t="shared" si="125"/>
        <v>0</v>
      </c>
      <c r="AQ137" s="730">
        <f>SUM(AQ131:AQ136)</f>
        <v>0</v>
      </c>
      <c r="AR137" s="730">
        <f t="shared" si="125"/>
        <v>0</v>
      </c>
      <c r="AS137" s="679"/>
      <c r="AT137" s="636">
        <f>SUM(AT131:AT136)</f>
        <v>0</v>
      </c>
      <c r="AU137" s="704">
        <f>SUM(AU131:AU136)</f>
        <v>0</v>
      </c>
      <c r="AV137" s="1019">
        <f t="shared" si="69"/>
        <v>89841283</v>
      </c>
      <c r="AW137" s="654"/>
    </row>
    <row r="138" spans="1:49" ht="45">
      <c r="A138" s="10" t="s">
        <v>105</v>
      </c>
      <c r="B138" s="549"/>
      <c r="C138" s="549"/>
      <c r="D138" s="549"/>
      <c r="E138" s="549"/>
      <c r="F138" s="23">
        <f>SUM(B138:E138)</f>
        <v>0</v>
      </c>
      <c r="G138" s="536"/>
      <c r="H138" s="890"/>
      <c r="I138" s="916"/>
      <c r="J138" s="864"/>
      <c r="K138" s="813"/>
      <c r="L138" s="942"/>
      <c r="M138" s="549"/>
      <c r="N138" s="549"/>
      <c r="O138" s="549"/>
      <c r="P138" s="549"/>
      <c r="Q138" s="549"/>
      <c r="R138" s="549"/>
      <c r="S138" s="549"/>
      <c r="T138" s="549"/>
      <c r="U138" s="23">
        <f>SUM(M138:T138)</f>
        <v>0</v>
      </c>
      <c r="V138" s="10" t="s">
        <v>105</v>
      </c>
      <c r="W138" s="536"/>
      <c r="X138" s="1471"/>
      <c r="Y138" s="968"/>
      <c r="Z138" s="994"/>
      <c r="AA138" s="1363"/>
      <c r="AB138" s="787"/>
      <c r="AC138" s="787"/>
      <c r="AD138" s="1415"/>
      <c r="AE138" s="1415"/>
      <c r="AF138" s="1389"/>
      <c r="AG138" s="1389"/>
      <c r="AH138" s="757"/>
      <c r="AI138" s="757"/>
      <c r="AJ138" s="10" t="s">
        <v>105</v>
      </c>
      <c r="AK138" s="536"/>
      <c r="AL138" s="536"/>
      <c r="AM138" s="1441"/>
      <c r="AN138" s="1441"/>
      <c r="AO138" s="731"/>
      <c r="AP138" s="731"/>
      <c r="AQ138" s="731"/>
      <c r="AR138" s="731"/>
      <c r="AS138" s="680"/>
      <c r="AT138" s="27"/>
      <c r="AU138" s="705"/>
      <c r="AV138" s="1019">
        <f t="shared" si="69"/>
        <v>0</v>
      </c>
      <c r="AW138" s="654"/>
    </row>
    <row r="139" spans="1:49" ht="15.75">
      <c r="A139" s="11" t="s">
        <v>106</v>
      </c>
      <c r="B139" s="552">
        <f t="shared" ref="B139:L139" si="126">B138</f>
        <v>0</v>
      </c>
      <c r="C139" s="552">
        <f>C138</f>
        <v>0</v>
      </c>
      <c r="D139" s="552">
        <f>D138</f>
        <v>0</v>
      </c>
      <c r="E139" s="552">
        <f t="shared" si="126"/>
        <v>0</v>
      </c>
      <c r="F139" s="28">
        <f t="shared" si="126"/>
        <v>0</v>
      </c>
      <c r="G139" s="537">
        <f t="shared" si="126"/>
        <v>0</v>
      </c>
      <c r="H139" s="889">
        <f t="shared" si="126"/>
        <v>0</v>
      </c>
      <c r="I139" s="915">
        <f t="shared" si="126"/>
        <v>0</v>
      </c>
      <c r="J139" s="863">
        <f t="shared" si="126"/>
        <v>0</v>
      </c>
      <c r="K139" s="812">
        <f t="shared" si="126"/>
        <v>0</v>
      </c>
      <c r="L139" s="941">
        <f t="shared" si="126"/>
        <v>0</v>
      </c>
      <c r="M139" s="552">
        <f t="shared" ref="M139:U139" si="127">M138</f>
        <v>0</v>
      </c>
      <c r="N139" s="552">
        <f t="shared" si="127"/>
        <v>0</v>
      </c>
      <c r="O139" s="552">
        <f t="shared" si="127"/>
        <v>0</v>
      </c>
      <c r="P139" s="552">
        <f t="shared" si="127"/>
        <v>0</v>
      </c>
      <c r="Q139" s="552">
        <f t="shared" si="127"/>
        <v>0</v>
      </c>
      <c r="R139" s="552">
        <f t="shared" si="127"/>
        <v>0</v>
      </c>
      <c r="S139" s="552">
        <f t="shared" si="127"/>
        <v>0</v>
      </c>
      <c r="T139" s="552">
        <f t="shared" si="127"/>
        <v>0</v>
      </c>
      <c r="U139" s="28">
        <f t="shared" si="127"/>
        <v>0</v>
      </c>
      <c r="V139" s="11" t="s">
        <v>106</v>
      </c>
      <c r="W139" s="537">
        <f>W138</f>
        <v>0</v>
      </c>
      <c r="X139" s="1470">
        <f t="shared" ref="X139:AR139" si="128">X138</f>
        <v>0</v>
      </c>
      <c r="Y139" s="967">
        <f t="shared" si="128"/>
        <v>0</v>
      </c>
      <c r="Z139" s="993">
        <f t="shared" si="128"/>
        <v>0</v>
      </c>
      <c r="AA139" s="1362">
        <f t="shared" si="128"/>
        <v>0</v>
      </c>
      <c r="AB139" s="786">
        <f t="shared" si="128"/>
        <v>0</v>
      </c>
      <c r="AC139" s="786">
        <f t="shared" si="128"/>
        <v>0</v>
      </c>
      <c r="AD139" s="1414">
        <f t="shared" si="128"/>
        <v>0</v>
      </c>
      <c r="AE139" s="1414">
        <f t="shared" si="128"/>
        <v>0</v>
      </c>
      <c r="AF139" s="1388">
        <f>AF138</f>
        <v>0</v>
      </c>
      <c r="AG139" s="1388">
        <f>AG138</f>
        <v>0</v>
      </c>
      <c r="AH139" s="756">
        <f>AH138</f>
        <v>0</v>
      </c>
      <c r="AI139" s="756">
        <f>AI138</f>
        <v>0</v>
      </c>
      <c r="AJ139" s="11" t="s">
        <v>106</v>
      </c>
      <c r="AK139" s="537">
        <f>AK138</f>
        <v>0</v>
      </c>
      <c r="AL139" s="537">
        <f>AL138</f>
        <v>0</v>
      </c>
      <c r="AM139" s="1440">
        <f>AM138</f>
        <v>0</v>
      </c>
      <c r="AN139" s="1440">
        <f>AN138</f>
        <v>0</v>
      </c>
      <c r="AO139" s="730">
        <f t="shared" si="128"/>
        <v>0</v>
      </c>
      <c r="AP139" s="730">
        <f t="shared" si="128"/>
        <v>0</v>
      </c>
      <c r="AQ139" s="730">
        <f>AQ138</f>
        <v>0</v>
      </c>
      <c r="AR139" s="730">
        <f t="shared" si="128"/>
        <v>0</v>
      </c>
      <c r="AS139" s="679"/>
      <c r="AT139" s="636">
        <f>AT138</f>
        <v>0</v>
      </c>
      <c r="AU139" s="704">
        <f>AU138</f>
        <v>0</v>
      </c>
      <c r="AV139" s="1019">
        <f t="shared" si="69"/>
        <v>0</v>
      </c>
      <c r="AW139" s="654"/>
    </row>
    <row r="140" spans="1:49" ht="30.75" thickBot="1">
      <c r="A140" s="12" t="s">
        <v>107</v>
      </c>
      <c r="B140" s="583"/>
      <c r="C140" s="583"/>
      <c r="D140" s="583"/>
      <c r="E140" s="583"/>
      <c r="F140" s="557">
        <f>SUM(B140:E140)</f>
        <v>0</v>
      </c>
      <c r="G140" s="559"/>
      <c r="H140" s="894"/>
      <c r="I140" s="920"/>
      <c r="J140" s="868"/>
      <c r="K140" s="817"/>
      <c r="L140" s="946"/>
      <c r="M140" s="583"/>
      <c r="N140" s="583"/>
      <c r="O140" s="583"/>
      <c r="P140" s="583"/>
      <c r="Q140" s="583"/>
      <c r="R140" s="583"/>
      <c r="S140" s="583"/>
      <c r="T140" s="583">
        <f>((81530*3)+(81530*0.0975*3))*6</f>
        <v>1610625.1500000001</v>
      </c>
      <c r="U140" s="557">
        <f>SUM(M140:T140)</f>
        <v>1610625.1500000001</v>
      </c>
      <c r="V140" s="12" t="s">
        <v>107</v>
      </c>
      <c r="W140" s="559"/>
      <c r="X140" s="1475"/>
      <c r="Y140" s="972"/>
      <c r="Z140" s="998"/>
      <c r="AA140" s="1367"/>
      <c r="AB140" s="791">
        <f>(1450200*12)</f>
        <v>17402400</v>
      </c>
      <c r="AC140" s="791"/>
      <c r="AD140" s="1419"/>
      <c r="AE140" s="1419"/>
      <c r="AF140" s="1393"/>
      <c r="AG140" s="1393">
        <f>(33300*12+3769600+1380000+240000+396000+45600)</f>
        <v>6230800</v>
      </c>
      <c r="AH140" s="761"/>
      <c r="AI140" s="761"/>
      <c r="AJ140" s="12" t="s">
        <v>107</v>
      </c>
      <c r="AK140" s="559"/>
      <c r="AL140" s="559"/>
      <c r="AM140" s="1445"/>
      <c r="AN140" s="1445"/>
      <c r="AO140" s="735"/>
      <c r="AP140" s="735"/>
      <c r="AQ140" s="735"/>
      <c r="AR140" s="735"/>
      <c r="AS140" s="683"/>
      <c r="AT140" s="639"/>
      <c r="AU140" s="709"/>
      <c r="AV140" s="1020">
        <f t="shared" si="69"/>
        <v>25243825.150000002</v>
      </c>
      <c r="AW140" s="654"/>
    </row>
    <row r="141" spans="1:49" ht="32.25" thickBot="1">
      <c r="A141" s="13" t="s">
        <v>108</v>
      </c>
      <c r="B141" s="577">
        <f t="shared" ref="B141:L141" si="129">B137+B139+B140</f>
        <v>0</v>
      </c>
      <c r="C141" s="577">
        <f>C137+C139+C140</f>
        <v>0</v>
      </c>
      <c r="D141" s="577">
        <f>D137+D139+D140</f>
        <v>0</v>
      </c>
      <c r="E141" s="577">
        <f t="shared" si="129"/>
        <v>0</v>
      </c>
      <c r="F141" s="578">
        <f t="shared" si="129"/>
        <v>0</v>
      </c>
      <c r="G141" s="579">
        <f t="shared" si="129"/>
        <v>0</v>
      </c>
      <c r="H141" s="886">
        <f t="shared" si="129"/>
        <v>0</v>
      </c>
      <c r="I141" s="912">
        <f t="shared" si="129"/>
        <v>0</v>
      </c>
      <c r="J141" s="860">
        <f t="shared" si="129"/>
        <v>0</v>
      </c>
      <c r="K141" s="809">
        <f t="shared" si="129"/>
        <v>89841283</v>
      </c>
      <c r="L141" s="938">
        <f t="shared" si="129"/>
        <v>0</v>
      </c>
      <c r="M141" s="577">
        <f t="shared" ref="M141:U141" si="130">M137+M139+M140</f>
        <v>0</v>
      </c>
      <c r="N141" s="577">
        <f t="shared" si="130"/>
        <v>0</v>
      </c>
      <c r="O141" s="577">
        <f t="shared" si="130"/>
        <v>0</v>
      </c>
      <c r="P141" s="577">
        <f t="shared" si="130"/>
        <v>0</v>
      </c>
      <c r="Q141" s="577">
        <f t="shared" si="130"/>
        <v>0</v>
      </c>
      <c r="R141" s="577">
        <f t="shared" si="130"/>
        <v>0</v>
      </c>
      <c r="S141" s="577">
        <f t="shared" si="130"/>
        <v>0</v>
      </c>
      <c r="T141" s="577">
        <f t="shared" si="130"/>
        <v>1610625.1500000001</v>
      </c>
      <c r="U141" s="578">
        <f t="shared" si="130"/>
        <v>1610625.1500000001</v>
      </c>
      <c r="V141" s="13" t="s">
        <v>108</v>
      </c>
      <c r="W141" s="579">
        <f>W137+W139+W140</f>
        <v>0</v>
      </c>
      <c r="X141" s="1467">
        <f t="shared" ref="X141:AR141" si="131">X137+X139+X140</f>
        <v>0</v>
      </c>
      <c r="Y141" s="964">
        <f t="shared" si="131"/>
        <v>0</v>
      </c>
      <c r="Z141" s="990">
        <f t="shared" si="131"/>
        <v>0</v>
      </c>
      <c r="AA141" s="1359">
        <f t="shared" si="131"/>
        <v>0</v>
      </c>
      <c r="AB141" s="783">
        <f t="shared" si="131"/>
        <v>17402400</v>
      </c>
      <c r="AC141" s="783">
        <f t="shared" si="131"/>
        <v>0</v>
      </c>
      <c r="AD141" s="1411">
        <f t="shared" si="131"/>
        <v>0</v>
      </c>
      <c r="AE141" s="1411">
        <f t="shared" si="131"/>
        <v>0</v>
      </c>
      <c r="AF141" s="1385">
        <f>AF137+AF139+AF140</f>
        <v>0</v>
      </c>
      <c r="AG141" s="1385">
        <f>AG137+AG139+AG140</f>
        <v>6230800</v>
      </c>
      <c r="AH141" s="753">
        <f>AH137+AH139+AH140</f>
        <v>0</v>
      </c>
      <c r="AI141" s="753">
        <f>AI137+AI139+AI140</f>
        <v>0</v>
      </c>
      <c r="AJ141" s="13" t="s">
        <v>108</v>
      </c>
      <c r="AK141" s="579">
        <f>AK137+AK139+AK140</f>
        <v>0</v>
      </c>
      <c r="AL141" s="579">
        <f>AL137+AL139+AL140</f>
        <v>0</v>
      </c>
      <c r="AM141" s="1437">
        <f>AM137+AM139+AM140</f>
        <v>0</v>
      </c>
      <c r="AN141" s="1437">
        <f>AN137+AN139+AN140</f>
        <v>0</v>
      </c>
      <c r="AO141" s="727">
        <f t="shared" si="131"/>
        <v>0</v>
      </c>
      <c r="AP141" s="727">
        <f t="shared" si="131"/>
        <v>0</v>
      </c>
      <c r="AQ141" s="727">
        <f>AQ137+AQ139+AQ140</f>
        <v>0</v>
      </c>
      <c r="AR141" s="727">
        <f t="shared" si="131"/>
        <v>0</v>
      </c>
      <c r="AS141" s="676"/>
      <c r="AT141" s="633">
        <f>AT137+AT139+AT140</f>
        <v>0</v>
      </c>
      <c r="AU141" s="701">
        <f>AU137+AU139+AU140</f>
        <v>0</v>
      </c>
      <c r="AV141" s="1518">
        <f t="shared" si="69"/>
        <v>115085108.15000001</v>
      </c>
      <c r="AW141" s="654"/>
    </row>
    <row r="142" spans="1:49" ht="30">
      <c r="A142" s="16" t="s">
        <v>109</v>
      </c>
      <c r="B142" s="554"/>
      <c r="C142" s="554"/>
      <c r="D142" s="554"/>
      <c r="E142" s="554"/>
      <c r="F142" s="22">
        <f>SUM(B142:E142)</f>
        <v>0</v>
      </c>
      <c r="G142" s="539"/>
      <c r="H142" s="892"/>
      <c r="I142" s="918"/>
      <c r="J142" s="866"/>
      <c r="K142" s="815"/>
      <c r="L142" s="944"/>
      <c r="M142" s="554"/>
      <c r="N142" s="554"/>
      <c r="O142" s="554"/>
      <c r="P142" s="554"/>
      <c r="Q142" s="554"/>
      <c r="R142" s="554"/>
      <c r="S142" s="554"/>
      <c r="T142" s="554"/>
      <c r="U142" s="22">
        <f>SUM(M142:T142)</f>
        <v>0</v>
      </c>
      <c r="V142" s="16" t="s">
        <v>109</v>
      </c>
      <c r="W142" s="539"/>
      <c r="X142" s="1473"/>
      <c r="Y142" s="970"/>
      <c r="Z142" s="996"/>
      <c r="AA142" s="1365"/>
      <c r="AB142" s="789"/>
      <c r="AC142" s="789"/>
      <c r="AD142" s="1417"/>
      <c r="AE142" s="1417"/>
      <c r="AF142" s="1391"/>
      <c r="AG142" s="1391"/>
      <c r="AH142" s="759"/>
      <c r="AI142" s="759"/>
      <c r="AJ142" s="16" t="s">
        <v>109</v>
      </c>
      <c r="AK142" s="539"/>
      <c r="AL142" s="539"/>
      <c r="AM142" s="1443"/>
      <c r="AN142" s="1443"/>
      <c r="AO142" s="733"/>
      <c r="AP142" s="733"/>
      <c r="AQ142" s="733"/>
      <c r="AR142" s="733"/>
      <c r="AS142" s="682"/>
      <c r="AT142" s="638"/>
      <c r="AU142" s="707"/>
      <c r="AV142" s="25">
        <f t="shared" si="69"/>
        <v>0</v>
      </c>
      <c r="AW142" s="654"/>
    </row>
    <row r="143" spans="1:49" ht="15.75">
      <c r="A143" s="10" t="s">
        <v>110</v>
      </c>
      <c r="B143" s="549"/>
      <c r="C143" s="549"/>
      <c r="D143" s="549"/>
      <c r="E143" s="549"/>
      <c r="F143" s="23">
        <f>SUM(B143:E143)</f>
        <v>0</v>
      </c>
      <c r="G143" s="536"/>
      <c r="H143" s="890"/>
      <c r="I143" s="916"/>
      <c r="J143" s="864"/>
      <c r="K143" s="813"/>
      <c r="L143" s="942"/>
      <c r="M143" s="549"/>
      <c r="N143" s="549"/>
      <c r="O143" s="549"/>
      <c r="P143" s="549"/>
      <c r="Q143" s="549"/>
      <c r="R143" s="549"/>
      <c r="S143" s="549"/>
      <c r="T143" s="549"/>
      <c r="U143" s="23">
        <f>SUM(M143:T143)</f>
        <v>0</v>
      </c>
      <c r="V143" s="10" t="s">
        <v>110</v>
      </c>
      <c r="W143" s="536"/>
      <c r="X143" s="1471"/>
      <c r="Y143" s="968"/>
      <c r="Z143" s="994"/>
      <c r="AA143" s="1363"/>
      <c r="AB143" s="787"/>
      <c r="AC143" s="787"/>
      <c r="AD143" s="1415"/>
      <c r="AE143" s="1415"/>
      <c r="AF143" s="1389"/>
      <c r="AG143" s="1389"/>
      <c r="AH143" s="757"/>
      <c r="AI143" s="757"/>
      <c r="AJ143" s="10" t="s">
        <v>110</v>
      </c>
      <c r="AK143" s="536"/>
      <c r="AL143" s="536"/>
      <c r="AM143" s="1441"/>
      <c r="AN143" s="1441"/>
      <c r="AO143" s="731"/>
      <c r="AP143" s="731"/>
      <c r="AQ143" s="731"/>
      <c r="AR143" s="731"/>
      <c r="AS143" s="680"/>
      <c r="AT143" s="27"/>
      <c r="AU143" s="705"/>
      <c r="AV143" s="1019">
        <f t="shared" si="69"/>
        <v>0</v>
      </c>
      <c r="AW143" s="654"/>
    </row>
    <row r="144" spans="1:49" ht="30.75" thickBot="1">
      <c r="A144" s="1288" t="s">
        <v>111</v>
      </c>
      <c r="B144" s="1498"/>
      <c r="C144" s="1498"/>
      <c r="D144" s="1498"/>
      <c r="E144" s="1498"/>
      <c r="F144" s="1499">
        <f>SUM(B144:E144)</f>
        <v>0</v>
      </c>
      <c r="G144" s="1567"/>
      <c r="H144" s="1568"/>
      <c r="I144" s="1569"/>
      <c r="J144" s="1570"/>
      <c r="K144" s="1571"/>
      <c r="L144" s="1572"/>
      <c r="M144" s="1498"/>
      <c r="N144" s="1498"/>
      <c r="O144" s="1498"/>
      <c r="P144" s="1498"/>
      <c r="Q144" s="1498"/>
      <c r="R144" s="1498"/>
      <c r="S144" s="1498"/>
      <c r="T144" s="1498"/>
      <c r="U144" s="1499">
        <f>SUM(M144:T144)</f>
        <v>0</v>
      </c>
      <c r="V144" s="1288" t="s">
        <v>111</v>
      </c>
      <c r="W144" s="1567"/>
      <c r="X144" s="1573"/>
      <c r="Y144" s="1574"/>
      <c r="Z144" s="1575"/>
      <c r="AA144" s="1576"/>
      <c r="AB144" s="1577"/>
      <c r="AC144" s="1577"/>
      <c r="AD144" s="1578"/>
      <c r="AE144" s="1578"/>
      <c r="AF144" s="1579"/>
      <c r="AG144" s="1579"/>
      <c r="AH144" s="1299"/>
      <c r="AI144" s="1299"/>
      <c r="AJ144" s="1288" t="s">
        <v>111</v>
      </c>
      <c r="AK144" s="1567"/>
      <c r="AL144" s="1567"/>
      <c r="AM144" s="1580"/>
      <c r="AN144" s="1580"/>
      <c r="AO144" s="1581"/>
      <c r="AP144" s="1581"/>
      <c r="AQ144" s="1581"/>
      <c r="AR144" s="1581"/>
      <c r="AS144" s="1516"/>
      <c r="AT144" s="1293"/>
      <c r="AU144" s="1582"/>
      <c r="AV144" s="1020">
        <f t="shared" si="69"/>
        <v>0</v>
      </c>
      <c r="AW144" s="654"/>
    </row>
    <row r="145" spans="1:49" ht="30.75" thickBot="1">
      <c r="A145" s="528" t="s">
        <v>112</v>
      </c>
      <c r="B145" s="551">
        <f t="shared" ref="B145:L145" si="132">SUM(B142:B144)</f>
        <v>0</v>
      </c>
      <c r="C145" s="551">
        <f>SUM(C142:C144)</f>
        <v>0</v>
      </c>
      <c r="D145" s="551">
        <f>SUM(D142:D144)</f>
        <v>0</v>
      </c>
      <c r="E145" s="551">
        <f t="shared" si="132"/>
        <v>0</v>
      </c>
      <c r="F145" s="529">
        <f t="shared" si="132"/>
        <v>0</v>
      </c>
      <c r="G145" s="533">
        <f t="shared" si="132"/>
        <v>0</v>
      </c>
      <c r="H145" s="881">
        <f t="shared" si="132"/>
        <v>0</v>
      </c>
      <c r="I145" s="907">
        <f t="shared" si="132"/>
        <v>0</v>
      </c>
      <c r="J145" s="855">
        <f t="shared" si="132"/>
        <v>0</v>
      </c>
      <c r="K145" s="804">
        <f t="shared" si="132"/>
        <v>0</v>
      </c>
      <c r="L145" s="933">
        <f t="shared" si="132"/>
        <v>0</v>
      </c>
      <c r="M145" s="551">
        <f t="shared" ref="M145:U145" si="133">SUM(M142:M144)</f>
        <v>0</v>
      </c>
      <c r="N145" s="551">
        <f t="shared" si="133"/>
        <v>0</v>
      </c>
      <c r="O145" s="551">
        <f t="shared" si="133"/>
        <v>0</v>
      </c>
      <c r="P145" s="551">
        <f t="shared" si="133"/>
        <v>0</v>
      </c>
      <c r="Q145" s="551">
        <f t="shared" si="133"/>
        <v>0</v>
      </c>
      <c r="R145" s="551">
        <f t="shared" si="133"/>
        <v>0</v>
      </c>
      <c r="S145" s="551">
        <f t="shared" si="133"/>
        <v>0</v>
      </c>
      <c r="T145" s="551">
        <f t="shared" si="133"/>
        <v>0</v>
      </c>
      <c r="U145" s="529">
        <f t="shared" si="133"/>
        <v>0</v>
      </c>
      <c r="V145" s="528" t="s">
        <v>112</v>
      </c>
      <c r="W145" s="533">
        <f>SUM(W142:W144)</f>
        <v>0</v>
      </c>
      <c r="X145" s="1462">
        <f t="shared" ref="X145:AR145" si="134">SUM(X142:X144)</f>
        <v>0</v>
      </c>
      <c r="Y145" s="959">
        <f t="shared" si="134"/>
        <v>0</v>
      </c>
      <c r="Z145" s="985">
        <f t="shared" si="134"/>
        <v>0</v>
      </c>
      <c r="AA145" s="1354">
        <f t="shared" si="134"/>
        <v>0</v>
      </c>
      <c r="AB145" s="778">
        <f t="shared" si="134"/>
        <v>0</v>
      </c>
      <c r="AC145" s="778">
        <f t="shared" si="134"/>
        <v>0</v>
      </c>
      <c r="AD145" s="1406">
        <f t="shared" si="134"/>
        <v>0</v>
      </c>
      <c r="AE145" s="1406">
        <f t="shared" si="134"/>
        <v>0</v>
      </c>
      <c r="AF145" s="1380">
        <f>SUM(AF142:AF144)</f>
        <v>0</v>
      </c>
      <c r="AG145" s="1380">
        <f>SUM(AG142:AG144)</f>
        <v>0</v>
      </c>
      <c r="AH145" s="748">
        <f>SUM(AH142:AH144)</f>
        <v>0</v>
      </c>
      <c r="AI145" s="748">
        <f>SUM(AI142:AI144)</f>
        <v>0</v>
      </c>
      <c r="AJ145" s="528" t="s">
        <v>112</v>
      </c>
      <c r="AK145" s="533">
        <f>SUM(AK142:AK144)</f>
        <v>0</v>
      </c>
      <c r="AL145" s="533">
        <f>SUM(AL142:AL144)</f>
        <v>0</v>
      </c>
      <c r="AM145" s="1432">
        <f>SUM(AM142:AM144)</f>
        <v>0</v>
      </c>
      <c r="AN145" s="1432">
        <f>SUM(AN142:AN144)</f>
        <v>0</v>
      </c>
      <c r="AO145" s="722">
        <f t="shared" si="134"/>
        <v>0</v>
      </c>
      <c r="AP145" s="722">
        <f t="shared" si="134"/>
        <v>0</v>
      </c>
      <c r="AQ145" s="722">
        <f>SUM(AQ142:AQ144)</f>
        <v>0</v>
      </c>
      <c r="AR145" s="722">
        <f t="shared" si="134"/>
        <v>0</v>
      </c>
      <c r="AS145" s="672"/>
      <c r="AT145" s="574">
        <f>SUM(AT142:AT144)</f>
        <v>0</v>
      </c>
      <c r="AU145" s="696">
        <f>SUM(AU142:AU144)</f>
        <v>0</v>
      </c>
      <c r="AV145" s="25">
        <f t="shared" si="69"/>
        <v>0</v>
      </c>
      <c r="AW145" s="654"/>
    </row>
    <row r="146" spans="1:49" ht="30.75" thickBot="1">
      <c r="A146" s="528" t="s">
        <v>113</v>
      </c>
      <c r="B146" s="551"/>
      <c r="C146" s="551"/>
      <c r="D146" s="551"/>
      <c r="E146" s="551"/>
      <c r="F146" s="562">
        <f>SUM(B146:E146)</f>
        <v>0</v>
      </c>
      <c r="G146" s="563">
        <f>6181639</f>
        <v>6181639</v>
      </c>
      <c r="H146" s="877"/>
      <c r="I146" s="903"/>
      <c r="J146" s="851"/>
      <c r="K146" s="800"/>
      <c r="L146" s="929"/>
      <c r="M146" s="551"/>
      <c r="N146" s="551"/>
      <c r="O146" s="551"/>
      <c r="P146" s="551"/>
      <c r="Q146" s="551"/>
      <c r="R146" s="551"/>
      <c r="S146" s="551"/>
      <c r="T146" s="551"/>
      <c r="U146" s="562">
        <f>SUM(M146:T146)</f>
        <v>0</v>
      </c>
      <c r="V146" s="528" t="s">
        <v>113</v>
      </c>
      <c r="W146" s="563"/>
      <c r="X146" s="1458"/>
      <c r="Y146" s="955"/>
      <c r="Z146" s="981"/>
      <c r="AA146" s="1350"/>
      <c r="AB146" s="774"/>
      <c r="AC146" s="774"/>
      <c r="AD146" s="1402"/>
      <c r="AE146" s="1402"/>
      <c r="AF146" s="1376"/>
      <c r="AG146" s="1376"/>
      <c r="AH146" s="744"/>
      <c r="AI146" s="744"/>
      <c r="AJ146" s="528" t="s">
        <v>113</v>
      </c>
      <c r="AK146" s="563"/>
      <c r="AL146" s="563"/>
      <c r="AM146" s="1428"/>
      <c r="AN146" s="1428"/>
      <c r="AO146" s="718"/>
      <c r="AP146" s="718"/>
      <c r="AQ146" s="718"/>
      <c r="AR146" s="718"/>
      <c r="AS146" s="667"/>
      <c r="AT146" s="574"/>
      <c r="AU146" s="692"/>
      <c r="AV146" s="25">
        <f t="shared" si="69"/>
        <v>6181639</v>
      </c>
      <c r="AW146" s="654"/>
    </row>
    <row r="147" spans="1:49" ht="32.25" thickBot="1">
      <c r="A147" s="13" t="s">
        <v>114</v>
      </c>
      <c r="B147" s="577">
        <f t="shared" ref="B147:L147" si="135">B145+B146</f>
        <v>0</v>
      </c>
      <c r="C147" s="577">
        <f>C145+C146</f>
        <v>0</v>
      </c>
      <c r="D147" s="577">
        <f>D145+D146</f>
        <v>0</v>
      </c>
      <c r="E147" s="577">
        <f t="shared" si="135"/>
        <v>0</v>
      </c>
      <c r="F147" s="578">
        <f t="shared" si="135"/>
        <v>0</v>
      </c>
      <c r="G147" s="579">
        <f t="shared" si="135"/>
        <v>6181639</v>
      </c>
      <c r="H147" s="886">
        <f t="shared" si="135"/>
        <v>0</v>
      </c>
      <c r="I147" s="912">
        <f t="shared" si="135"/>
        <v>0</v>
      </c>
      <c r="J147" s="860">
        <f t="shared" si="135"/>
        <v>0</v>
      </c>
      <c r="K147" s="809">
        <f t="shared" si="135"/>
        <v>0</v>
      </c>
      <c r="L147" s="938">
        <f t="shared" si="135"/>
        <v>0</v>
      </c>
      <c r="M147" s="577">
        <f t="shared" ref="M147:U147" si="136">M145+M146</f>
        <v>0</v>
      </c>
      <c r="N147" s="577">
        <f t="shared" si="136"/>
        <v>0</v>
      </c>
      <c r="O147" s="577">
        <f t="shared" si="136"/>
        <v>0</v>
      </c>
      <c r="P147" s="577">
        <f t="shared" si="136"/>
        <v>0</v>
      </c>
      <c r="Q147" s="577">
        <f t="shared" si="136"/>
        <v>0</v>
      </c>
      <c r="R147" s="577">
        <f t="shared" si="136"/>
        <v>0</v>
      </c>
      <c r="S147" s="577">
        <f t="shared" si="136"/>
        <v>0</v>
      </c>
      <c r="T147" s="577">
        <f t="shared" si="136"/>
        <v>0</v>
      </c>
      <c r="U147" s="578">
        <f t="shared" si="136"/>
        <v>0</v>
      </c>
      <c r="V147" s="13" t="s">
        <v>114</v>
      </c>
      <c r="W147" s="579">
        <f>W145+W146</f>
        <v>0</v>
      </c>
      <c r="X147" s="1467">
        <f t="shared" ref="X147:AR147" si="137">X145+X146</f>
        <v>0</v>
      </c>
      <c r="Y147" s="964">
        <f t="shared" si="137"/>
        <v>0</v>
      </c>
      <c r="Z147" s="990">
        <f t="shared" si="137"/>
        <v>0</v>
      </c>
      <c r="AA147" s="1359">
        <f t="shared" si="137"/>
        <v>0</v>
      </c>
      <c r="AB147" s="783">
        <f t="shared" si="137"/>
        <v>0</v>
      </c>
      <c r="AC147" s="783">
        <f t="shared" si="137"/>
        <v>0</v>
      </c>
      <c r="AD147" s="1411">
        <f t="shared" si="137"/>
        <v>0</v>
      </c>
      <c r="AE147" s="1411">
        <f t="shared" si="137"/>
        <v>0</v>
      </c>
      <c r="AF147" s="1385">
        <f>AF145+AF146</f>
        <v>0</v>
      </c>
      <c r="AG147" s="1385">
        <f>AG145+AG146</f>
        <v>0</v>
      </c>
      <c r="AH147" s="753">
        <f>AH145+AH146</f>
        <v>0</v>
      </c>
      <c r="AI147" s="753">
        <f>AI145+AI146</f>
        <v>0</v>
      </c>
      <c r="AJ147" s="13" t="s">
        <v>114</v>
      </c>
      <c r="AK147" s="579">
        <f>AK145+AK146</f>
        <v>0</v>
      </c>
      <c r="AL147" s="579">
        <f>AL145+AL146</f>
        <v>0</v>
      </c>
      <c r="AM147" s="1437">
        <f>AM145+AM146</f>
        <v>0</v>
      </c>
      <c r="AN147" s="1437">
        <f>AN145+AN146</f>
        <v>0</v>
      </c>
      <c r="AO147" s="727">
        <f t="shared" si="137"/>
        <v>0</v>
      </c>
      <c r="AP147" s="727">
        <f t="shared" si="137"/>
        <v>0</v>
      </c>
      <c r="AQ147" s="727">
        <f>AQ145+AQ146</f>
        <v>0</v>
      </c>
      <c r="AR147" s="727">
        <f t="shared" si="137"/>
        <v>0</v>
      </c>
      <c r="AS147" s="676"/>
      <c r="AT147" s="633">
        <f>AT145+AT146</f>
        <v>0</v>
      </c>
      <c r="AU147" s="701">
        <f>AU145+AU146</f>
        <v>0</v>
      </c>
      <c r="AV147" s="1518">
        <f t="shared" si="69"/>
        <v>6181639</v>
      </c>
      <c r="AW147" s="654"/>
    </row>
    <row r="148" spans="1:49" ht="15.75">
      <c r="A148" s="1583" t="s">
        <v>115</v>
      </c>
      <c r="B148" s="1584"/>
      <c r="C148" s="1584"/>
      <c r="D148" s="1584"/>
      <c r="E148" s="1584"/>
      <c r="F148" s="22">
        <f>SUM(B148:E148)</f>
        <v>0</v>
      </c>
      <c r="G148" s="1585"/>
      <c r="H148" s="1586"/>
      <c r="I148" s="1587"/>
      <c r="J148" s="1588"/>
      <c r="K148" s="1589"/>
      <c r="L148" s="1590"/>
      <c r="M148" s="1584"/>
      <c r="N148" s="1584"/>
      <c r="O148" s="1584"/>
      <c r="P148" s="1584"/>
      <c r="Q148" s="1584"/>
      <c r="R148" s="1584"/>
      <c r="S148" s="1584"/>
      <c r="T148" s="1584"/>
      <c r="U148" s="22">
        <f>SUM(M148:T148)</f>
        <v>0</v>
      </c>
      <c r="V148" s="1583" t="s">
        <v>115</v>
      </c>
      <c r="W148" s="1585"/>
      <c r="X148" s="1591"/>
      <c r="Y148" s="1592"/>
      <c r="Z148" s="1593"/>
      <c r="AA148" s="1594"/>
      <c r="AB148" s="1595"/>
      <c r="AC148" s="1595"/>
      <c r="AD148" s="1596"/>
      <c r="AE148" s="1596"/>
      <c r="AF148" s="1597"/>
      <c r="AG148" s="1597"/>
      <c r="AH148" s="1598"/>
      <c r="AI148" s="1598"/>
      <c r="AJ148" s="1583" t="s">
        <v>115</v>
      </c>
      <c r="AK148" s="1585"/>
      <c r="AL148" s="1585"/>
      <c r="AM148" s="1599"/>
      <c r="AN148" s="1599"/>
      <c r="AO148" s="1600"/>
      <c r="AP148" s="1600"/>
      <c r="AQ148" s="1600"/>
      <c r="AR148" s="1600"/>
      <c r="AS148" s="682"/>
      <c r="AT148" s="1601"/>
      <c r="AU148" s="1602"/>
      <c r="AV148" s="25">
        <f t="shared" si="69"/>
        <v>0</v>
      </c>
      <c r="AW148" s="654"/>
    </row>
    <row r="149" spans="1:49" ht="30">
      <c r="A149" s="10" t="s">
        <v>116</v>
      </c>
      <c r="B149" s="549"/>
      <c r="C149" s="549"/>
      <c r="D149" s="549"/>
      <c r="E149" s="549"/>
      <c r="F149" s="23">
        <f>SUM(B149:E149)</f>
        <v>0</v>
      </c>
      <c r="G149" s="536"/>
      <c r="H149" s="890"/>
      <c r="I149" s="916"/>
      <c r="J149" s="864"/>
      <c r="K149" s="813"/>
      <c r="L149" s="942"/>
      <c r="M149" s="549"/>
      <c r="N149" s="549"/>
      <c r="O149" s="549"/>
      <c r="P149" s="549"/>
      <c r="Q149" s="549"/>
      <c r="R149" s="549"/>
      <c r="S149" s="549"/>
      <c r="T149" s="549"/>
      <c r="U149" s="23">
        <f>SUM(M149:T149)</f>
        <v>0</v>
      </c>
      <c r="V149" s="10" t="s">
        <v>116</v>
      </c>
      <c r="W149" s="536"/>
      <c r="X149" s="1471"/>
      <c r="Y149" s="968"/>
      <c r="Z149" s="994"/>
      <c r="AA149" s="1363"/>
      <c r="AB149" s="787"/>
      <c r="AC149" s="787"/>
      <c r="AD149" s="1415"/>
      <c r="AE149" s="1415"/>
      <c r="AF149" s="1389"/>
      <c r="AG149" s="1389"/>
      <c r="AH149" s="757"/>
      <c r="AI149" s="757"/>
      <c r="AJ149" s="10" t="s">
        <v>116</v>
      </c>
      <c r="AK149" s="536"/>
      <c r="AL149" s="536"/>
      <c r="AM149" s="1441"/>
      <c r="AN149" s="1441"/>
      <c r="AO149" s="731"/>
      <c r="AP149" s="731"/>
      <c r="AQ149" s="731"/>
      <c r="AR149" s="731"/>
      <c r="AS149" s="1603">
        <v>3700000</v>
      </c>
      <c r="AT149" s="27">
        <f>AS149</f>
        <v>3700000</v>
      </c>
      <c r="AU149" s="705"/>
      <c r="AV149" s="1019">
        <f>SUM(B149:AU149)-SUM(M149:T149)-SUM(B149:E149)-AS149</f>
        <v>3700000</v>
      </c>
      <c r="AW149" s="654"/>
    </row>
    <row r="150" spans="1:49" ht="16.5" thickBot="1">
      <c r="A150" s="1288" t="s">
        <v>641</v>
      </c>
      <c r="B150" s="1498"/>
      <c r="C150" s="1498"/>
      <c r="D150" s="1498"/>
      <c r="E150" s="1498"/>
      <c r="F150" s="1499"/>
      <c r="G150" s="1567"/>
      <c r="H150" s="1568"/>
      <c r="I150" s="1569"/>
      <c r="J150" s="1570"/>
      <c r="K150" s="1571"/>
      <c r="L150" s="1572"/>
      <c r="M150" s="1498"/>
      <c r="N150" s="1498"/>
      <c r="O150" s="1498"/>
      <c r="P150" s="1498"/>
      <c r="Q150" s="1498"/>
      <c r="R150" s="1498"/>
      <c r="S150" s="1498"/>
      <c r="T150" s="1498"/>
      <c r="U150" s="1499"/>
      <c r="V150" s="1288" t="s">
        <v>641</v>
      </c>
      <c r="W150" s="1567"/>
      <c r="X150" s="1573"/>
      <c r="Y150" s="1574"/>
      <c r="Z150" s="1575"/>
      <c r="AA150" s="1576"/>
      <c r="AB150" s="1577"/>
      <c r="AC150" s="1577"/>
      <c r="AD150" s="1578"/>
      <c r="AE150" s="1578"/>
      <c r="AF150" s="1579"/>
      <c r="AG150" s="1579"/>
      <c r="AH150" s="1299"/>
      <c r="AI150" s="1299"/>
      <c r="AJ150" s="1288" t="s">
        <v>641</v>
      </c>
      <c r="AK150" s="1567"/>
      <c r="AL150" s="1567"/>
      <c r="AM150" s="1580"/>
      <c r="AN150" s="1580"/>
      <c r="AO150" s="1581"/>
      <c r="AP150" s="1581"/>
      <c r="AQ150" s="1581"/>
      <c r="AR150" s="1581"/>
      <c r="AS150" s="1604"/>
      <c r="AT150" s="1293"/>
      <c r="AU150" s="1582"/>
      <c r="AV150" s="1020">
        <f t="shared" ref="AV150:AV166" si="138">SUM(B150:AU150)-SUM(M150:T150)-SUM(B150:E150)-AS150</f>
        <v>0</v>
      </c>
      <c r="AW150" s="654"/>
    </row>
    <row r="151" spans="1:49" ht="16.5" thickBot="1">
      <c r="A151" s="528" t="s">
        <v>117</v>
      </c>
      <c r="B151" s="551">
        <f t="shared" ref="B151:L151" si="139">SUM(B148:B149)</f>
        <v>0</v>
      </c>
      <c r="C151" s="551">
        <f>SUM(C148:C149)</f>
        <v>0</v>
      </c>
      <c r="D151" s="551">
        <f>SUM(D148:D149)</f>
        <v>0</v>
      </c>
      <c r="E151" s="551">
        <f t="shared" si="139"/>
        <v>0</v>
      </c>
      <c r="F151" s="529">
        <f t="shared" si="139"/>
        <v>0</v>
      </c>
      <c r="G151" s="533">
        <f t="shared" si="139"/>
        <v>0</v>
      </c>
      <c r="H151" s="881">
        <f t="shared" si="139"/>
        <v>0</v>
      </c>
      <c r="I151" s="907">
        <f t="shared" si="139"/>
        <v>0</v>
      </c>
      <c r="J151" s="855">
        <f t="shared" si="139"/>
        <v>0</v>
      </c>
      <c r="K151" s="804">
        <f t="shared" si="139"/>
        <v>0</v>
      </c>
      <c r="L151" s="933">
        <f t="shared" si="139"/>
        <v>0</v>
      </c>
      <c r="M151" s="551">
        <f t="shared" ref="M151:U151" si="140">SUM(M148:M149)</f>
        <v>0</v>
      </c>
      <c r="N151" s="551">
        <f t="shared" si="140"/>
        <v>0</v>
      </c>
      <c r="O151" s="551">
        <f t="shared" si="140"/>
        <v>0</v>
      </c>
      <c r="P151" s="551">
        <f t="shared" si="140"/>
        <v>0</v>
      </c>
      <c r="Q151" s="551">
        <f t="shared" si="140"/>
        <v>0</v>
      </c>
      <c r="R151" s="551">
        <f t="shared" si="140"/>
        <v>0</v>
      </c>
      <c r="S151" s="551">
        <f t="shared" si="140"/>
        <v>0</v>
      </c>
      <c r="T151" s="551">
        <f t="shared" si="140"/>
        <v>0</v>
      </c>
      <c r="U151" s="529">
        <f t="shared" si="140"/>
        <v>0</v>
      </c>
      <c r="V151" s="528" t="s">
        <v>117</v>
      </c>
      <c r="W151" s="533">
        <f>SUM(W148:W149)</f>
        <v>0</v>
      </c>
      <c r="X151" s="1462">
        <f t="shared" ref="X151:AR151" si="141">SUM(X148:X149)</f>
        <v>0</v>
      </c>
      <c r="Y151" s="959">
        <f t="shared" si="141"/>
        <v>0</v>
      </c>
      <c r="Z151" s="985">
        <f t="shared" si="141"/>
        <v>0</v>
      </c>
      <c r="AA151" s="1354">
        <f t="shared" si="141"/>
        <v>0</v>
      </c>
      <c r="AB151" s="778">
        <f t="shared" si="141"/>
        <v>0</v>
      </c>
      <c r="AC151" s="778">
        <f t="shared" si="141"/>
        <v>0</v>
      </c>
      <c r="AD151" s="1406">
        <f t="shared" si="141"/>
        <v>0</v>
      </c>
      <c r="AE151" s="1406">
        <f t="shared" si="141"/>
        <v>0</v>
      </c>
      <c r="AF151" s="1380">
        <f>SUM(AF148:AF149)</f>
        <v>0</v>
      </c>
      <c r="AG151" s="1380">
        <f>SUM(AG148:AG149)</f>
        <v>0</v>
      </c>
      <c r="AH151" s="748">
        <f>SUM(AH148:AH149)</f>
        <v>0</v>
      </c>
      <c r="AI151" s="748">
        <f>SUM(AI148:AI149)</f>
        <v>0</v>
      </c>
      <c r="AJ151" s="528" t="s">
        <v>117</v>
      </c>
      <c r="AK151" s="533">
        <f>SUM(AK148:AK149)</f>
        <v>0</v>
      </c>
      <c r="AL151" s="533">
        <f>SUM(AL148:AL149)</f>
        <v>0</v>
      </c>
      <c r="AM151" s="1432">
        <f>SUM(AM148:AM149)</f>
        <v>0</v>
      </c>
      <c r="AN151" s="1432">
        <f>SUM(AN148:AN149)</f>
        <v>0</v>
      </c>
      <c r="AO151" s="722">
        <f t="shared" si="141"/>
        <v>0</v>
      </c>
      <c r="AP151" s="722">
        <f t="shared" si="141"/>
        <v>0</v>
      </c>
      <c r="AQ151" s="722">
        <f>SUM(AQ148:AQ149)</f>
        <v>0</v>
      </c>
      <c r="AR151" s="722">
        <f t="shared" si="141"/>
        <v>0</v>
      </c>
      <c r="AS151" s="672">
        <f>SUM(AS148:AS150)</f>
        <v>3700000</v>
      </c>
      <c r="AT151" s="574">
        <f>AS151</f>
        <v>3700000</v>
      </c>
      <c r="AU151" s="696">
        <f>SUM(AU148:AU149)</f>
        <v>0</v>
      </c>
      <c r="AV151" s="25">
        <f t="shared" si="138"/>
        <v>3700000</v>
      </c>
      <c r="AW151" s="654"/>
    </row>
    <row r="152" spans="1:49" ht="30">
      <c r="A152" s="1300" t="s">
        <v>118</v>
      </c>
      <c r="B152" s="1481"/>
      <c r="C152" s="1481"/>
      <c r="D152" s="1481"/>
      <c r="E152" s="1481"/>
      <c r="F152" s="22">
        <f>SUM(B152:E152)</f>
        <v>0</v>
      </c>
      <c r="G152" s="566"/>
      <c r="H152" s="874"/>
      <c r="I152" s="900"/>
      <c r="J152" s="848"/>
      <c r="K152" s="797"/>
      <c r="L152" s="926"/>
      <c r="M152" s="1481"/>
      <c r="N152" s="1481"/>
      <c r="O152" s="1481"/>
      <c r="P152" s="1481"/>
      <c r="Q152" s="1481"/>
      <c r="R152" s="1481"/>
      <c r="S152" s="1481"/>
      <c r="T152" s="1481"/>
      <c r="U152" s="22">
        <f>SUM(M152:T152)</f>
        <v>0</v>
      </c>
      <c r="V152" s="1300" t="s">
        <v>118</v>
      </c>
      <c r="W152" s="566"/>
      <c r="X152" s="1455"/>
      <c r="Y152" s="952"/>
      <c r="Z152" s="978"/>
      <c r="AA152" s="1347"/>
      <c r="AB152" s="771"/>
      <c r="AC152" s="771"/>
      <c r="AD152" s="1399"/>
      <c r="AE152" s="1399"/>
      <c r="AF152" s="1373"/>
      <c r="AG152" s="1373"/>
      <c r="AH152" s="741"/>
      <c r="AI152" s="741"/>
      <c r="AJ152" s="1300" t="s">
        <v>118</v>
      </c>
      <c r="AK152" s="566"/>
      <c r="AL152" s="566"/>
      <c r="AM152" s="1425"/>
      <c r="AN152" s="1425"/>
      <c r="AO152" s="715"/>
      <c r="AP152" s="715"/>
      <c r="AQ152" s="715"/>
      <c r="AR152" s="715"/>
      <c r="AS152" s="663">
        <v>10500000</v>
      </c>
      <c r="AT152" s="626">
        <f>AS152</f>
        <v>10500000</v>
      </c>
      <c r="AU152" s="689"/>
      <c r="AV152" s="25">
        <f t="shared" si="138"/>
        <v>10500000</v>
      </c>
      <c r="AW152" s="654"/>
    </row>
    <row r="153" spans="1:49" ht="30">
      <c r="A153" s="2" t="s">
        <v>119</v>
      </c>
      <c r="B153" s="621"/>
      <c r="C153" s="621"/>
      <c r="D153" s="621"/>
      <c r="E153" s="621"/>
      <c r="F153" s="23">
        <f>SUM(B153:E153)</f>
        <v>0</v>
      </c>
      <c r="G153" s="540"/>
      <c r="H153" s="875"/>
      <c r="I153" s="901"/>
      <c r="J153" s="849"/>
      <c r="K153" s="798"/>
      <c r="L153" s="927"/>
      <c r="M153" s="621"/>
      <c r="N153" s="621"/>
      <c r="O153" s="621"/>
      <c r="P153" s="621"/>
      <c r="Q153" s="621"/>
      <c r="R153" s="621"/>
      <c r="S153" s="621"/>
      <c r="T153" s="621"/>
      <c r="U153" s="23">
        <f>SUM(M153:T153)</f>
        <v>0</v>
      </c>
      <c r="V153" s="2" t="s">
        <v>119</v>
      </c>
      <c r="W153" s="540"/>
      <c r="X153" s="1456"/>
      <c r="Y153" s="953"/>
      <c r="Z153" s="979"/>
      <c r="AA153" s="1348"/>
      <c r="AB153" s="772"/>
      <c r="AC153" s="772"/>
      <c r="AD153" s="1400"/>
      <c r="AE153" s="1400"/>
      <c r="AF153" s="1374"/>
      <c r="AG153" s="1374"/>
      <c r="AH153" s="742"/>
      <c r="AI153" s="742"/>
      <c r="AJ153" s="2" t="s">
        <v>119</v>
      </c>
      <c r="AK153" s="540"/>
      <c r="AL153" s="540"/>
      <c r="AM153" s="1426"/>
      <c r="AN153" s="1426"/>
      <c r="AO153" s="716"/>
      <c r="AP153" s="716"/>
      <c r="AQ153" s="716"/>
      <c r="AR153" s="716"/>
      <c r="AS153" s="680"/>
      <c r="AT153" s="627"/>
      <c r="AU153" s="690"/>
      <c r="AV153" s="1019">
        <f t="shared" si="138"/>
        <v>0</v>
      </c>
      <c r="AW153" s="654"/>
    </row>
    <row r="154" spans="1:49" ht="15.75">
      <c r="A154" s="10" t="s">
        <v>120</v>
      </c>
      <c r="B154" s="549">
        <f t="shared" ref="B154:L154" si="142">SUM(B152:B153)</f>
        <v>0</v>
      </c>
      <c r="C154" s="549">
        <f>SUM(C152:C153)</f>
        <v>0</v>
      </c>
      <c r="D154" s="549">
        <f>SUM(D152:D153)</f>
        <v>0</v>
      </c>
      <c r="E154" s="549">
        <f t="shared" si="142"/>
        <v>0</v>
      </c>
      <c r="F154" s="26">
        <f t="shared" si="142"/>
        <v>0</v>
      </c>
      <c r="G154" s="535">
        <f t="shared" si="142"/>
        <v>0</v>
      </c>
      <c r="H154" s="879">
        <f t="shared" si="142"/>
        <v>0</v>
      </c>
      <c r="I154" s="905">
        <f t="shared" si="142"/>
        <v>0</v>
      </c>
      <c r="J154" s="853">
        <f t="shared" si="142"/>
        <v>0</v>
      </c>
      <c r="K154" s="802">
        <f t="shared" si="142"/>
        <v>0</v>
      </c>
      <c r="L154" s="931">
        <f t="shared" si="142"/>
        <v>0</v>
      </c>
      <c r="M154" s="549">
        <f t="shared" ref="M154:U154" si="143">SUM(M152:M153)</f>
        <v>0</v>
      </c>
      <c r="N154" s="549">
        <f t="shared" si="143"/>
        <v>0</v>
      </c>
      <c r="O154" s="549">
        <f t="shared" si="143"/>
        <v>0</v>
      </c>
      <c r="P154" s="549">
        <f t="shared" si="143"/>
        <v>0</v>
      </c>
      <c r="Q154" s="549">
        <f t="shared" si="143"/>
        <v>0</v>
      </c>
      <c r="R154" s="549">
        <f t="shared" si="143"/>
        <v>0</v>
      </c>
      <c r="S154" s="549">
        <f t="shared" si="143"/>
        <v>0</v>
      </c>
      <c r="T154" s="549">
        <f t="shared" si="143"/>
        <v>0</v>
      </c>
      <c r="U154" s="26">
        <f t="shared" si="143"/>
        <v>0</v>
      </c>
      <c r="V154" s="10" t="s">
        <v>120</v>
      </c>
      <c r="W154" s="535">
        <f>SUM(W152:W153)</f>
        <v>0</v>
      </c>
      <c r="X154" s="1460">
        <f t="shared" ref="X154:AR154" si="144">SUM(X152:X153)</f>
        <v>0</v>
      </c>
      <c r="Y154" s="957">
        <f t="shared" si="144"/>
        <v>0</v>
      </c>
      <c r="Z154" s="983">
        <f t="shared" si="144"/>
        <v>0</v>
      </c>
      <c r="AA154" s="1352">
        <f t="shared" si="144"/>
        <v>0</v>
      </c>
      <c r="AB154" s="776">
        <f t="shared" si="144"/>
        <v>0</v>
      </c>
      <c r="AC154" s="776">
        <f t="shared" si="144"/>
        <v>0</v>
      </c>
      <c r="AD154" s="1404">
        <f t="shared" si="144"/>
        <v>0</v>
      </c>
      <c r="AE154" s="1404">
        <f t="shared" si="144"/>
        <v>0</v>
      </c>
      <c r="AF154" s="1378">
        <f>SUM(AF152:AF153)</f>
        <v>0</v>
      </c>
      <c r="AG154" s="1378">
        <f>SUM(AG152:AG153)</f>
        <v>0</v>
      </c>
      <c r="AH154" s="746">
        <f>SUM(AH152:AH153)</f>
        <v>0</v>
      </c>
      <c r="AI154" s="746">
        <f>SUM(AI152:AI153)</f>
        <v>0</v>
      </c>
      <c r="AJ154" s="10" t="s">
        <v>120</v>
      </c>
      <c r="AK154" s="535">
        <f>SUM(AK152:AK153)</f>
        <v>0</v>
      </c>
      <c r="AL154" s="535">
        <f>SUM(AL152:AL153)</f>
        <v>0</v>
      </c>
      <c r="AM154" s="1430">
        <f>SUM(AM152:AM153)</f>
        <v>0</v>
      </c>
      <c r="AN154" s="1430">
        <f>SUM(AN152:AN153)</f>
        <v>0</v>
      </c>
      <c r="AO154" s="720">
        <f t="shared" si="144"/>
        <v>0</v>
      </c>
      <c r="AP154" s="720">
        <f t="shared" si="144"/>
        <v>0</v>
      </c>
      <c r="AQ154" s="720">
        <f>SUM(AQ152:AQ153)</f>
        <v>0</v>
      </c>
      <c r="AR154" s="720">
        <f t="shared" si="144"/>
        <v>0</v>
      </c>
      <c r="AS154" s="670">
        <f>SUM(AS152:AS153)</f>
        <v>10500000</v>
      </c>
      <c r="AT154" s="27">
        <f>AS154</f>
        <v>10500000</v>
      </c>
      <c r="AU154" s="694">
        <f>SUM(AU152:AU153)</f>
        <v>0</v>
      </c>
      <c r="AV154" s="1019">
        <f t="shared" si="138"/>
        <v>10500000</v>
      </c>
      <c r="AW154" s="654"/>
    </row>
    <row r="155" spans="1:49" ht="30">
      <c r="A155" s="2" t="s">
        <v>121</v>
      </c>
      <c r="B155" s="544"/>
      <c r="C155" s="544"/>
      <c r="D155" s="544"/>
      <c r="E155" s="544"/>
      <c r="F155" s="23">
        <f>SUM(B155:E155)</f>
        <v>0</v>
      </c>
      <c r="G155" s="530"/>
      <c r="H155" s="893"/>
      <c r="I155" s="919"/>
      <c r="J155" s="867"/>
      <c r="K155" s="816"/>
      <c r="L155" s="945"/>
      <c r="M155" s="544"/>
      <c r="N155" s="544"/>
      <c r="O155" s="544"/>
      <c r="P155" s="544"/>
      <c r="Q155" s="544"/>
      <c r="R155" s="544"/>
      <c r="S155" s="544"/>
      <c r="T155" s="544"/>
      <c r="U155" s="23">
        <f>SUM(M155:T155)</f>
        <v>0</v>
      </c>
      <c r="V155" s="2" t="s">
        <v>121</v>
      </c>
      <c r="W155" s="530"/>
      <c r="X155" s="1474"/>
      <c r="Y155" s="971"/>
      <c r="Z155" s="997"/>
      <c r="AA155" s="1366"/>
      <c r="AB155" s="790"/>
      <c r="AC155" s="790"/>
      <c r="AD155" s="1418"/>
      <c r="AE155" s="1418"/>
      <c r="AF155" s="1392"/>
      <c r="AG155" s="1392"/>
      <c r="AH155" s="760"/>
      <c r="AI155" s="760"/>
      <c r="AJ155" s="2" t="s">
        <v>121</v>
      </c>
      <c r="AK155" s="530"/>
      <c r="AL155" s="530"/>
      <c r="AM155" s="1444"/>
      <c r="AN155" s="1444"/>
      <c r="AO155" s="734"/>
      <c r="AP155" s="734"/>
      <c r="AQ155" s="734"/>
      <c r="AR155" s="734"/>
      <c r="AS155" s="680"/>
      <c r="AT155" s="648"/>
      <c r="AU155" s="708"/>
      <c r="AV155" s="1019">
        <f t="shared" si="138"/>
        <v>0</v>
      </c>
      <c r="AW155" s="654"/>
    </row>
    <row r="156" spans="1:49" ht="30">
      <c r="A156" s="2" t="s">
        <v>122</v>
      </c>
      <c r="B156" s="544"/>
      <c r="C156" s="544"/>
      <c r="D156" s="544"/>
      <c r="E156" s="544"/>
      <c r="F156" s="23">
        <f>SUM(B156:E156)</f>
        <v>0</v>
      </c>
      <c r="G156" s="530"/>
      <c r="H156" s="893"/>
      <c r="I156" s="919"/>
      <c r="J156" s="867"/>
      <c r="K156" s="816"/>
      <c r="L156" s="945"/>
      <c r="M156" s="544"/>
      <c r="N156" s="544"/>
      <c r="O156" s="544"/>
      <c r="P156" s="544"/>
      <c r="Q156" s="544"/>
      <c r="R156" s="544"/>
      <c r="S156" s="544"/>
      <c r="T156" s="544"/>
      <c r="U156" s="23">
        <f>SUM(M156:T156)</f>
        <v>0</v>
      </c>
      <c r="V156" s="2" t="s">
        <v>122</v>
      </c>
      <c r="W156" s="530"/>
      <c r="X156" s="1474"/>
      <c r="Y156" s="971"/>
      <c r="Z156" s="997"/>
      <c r="AA156" s="1366"/>
      <c r="AB156" s="790"/>
      <c r="AC156" s="790"/>
      <c r="AD156" s="1418"/>
      <c r="AE156" s="1418"/>
      <c r="AF156" s="1392"/>
      <c r="AG156" s="1392"/>
      <c r="AH156" s="760"/>
      <c r="AI156" s="760"/>
      <c r="AJ156" s="2" t="s">
        <v>122</v>
      </c>
      <c r="AK156" s="530"/>
      <c r="AL156" s="530"/>
      <c r="AM156" s="1444"/>
      <c r="AN156" s="1444"/>
      <c r="AO156" s="734"/>
      <c r="AP156" s="734"/>
      <c r="AQ156" s="734"/>
      <c r="AR156" s="734"/>
      <c r="AS156" s="665">
        <v>4500000</v>
      </c>
      <c r="AT156" s="648">
        <f>AS156</f>
        <v>4500000</v>
      </c>
      <c r="AU156" s="708"/>
      <c r="AV156" s="1019">
        <f t="shared" si="138"/>
        <v>4500000</v>
      </c>
      <c r="AW156" s="654"/>
    </row>
    <row r="157" spans="1:49" ht="15.75">
      <c r="A157" s="10" t="s">
        <v>123</v>
      </c>
      <c r="B157" s="549">
        <f t="shared" ref="B157:L157" si="145">SUM(B155:B156)</f>
        <v>0</v>
      </c>
      <c r="C157" s="549">
        <f>SUM(C155:C156)</f>
        <v>0</v>
      </c>
      <c r="D157" s="549">
        <f>SUM(D155:D156)</f>
        <v>0</v>
      </c>
      <c r="E157" s="549">
        <f t="shared" si="145"/>
        <v>0</v>
      </c>
      <c r="F157" s="26">
        <f t="shared" si="145"/>
        <v>0</v>
      </c>
      <c r="G157" s="535">
        <f t="shared" si="145"/>
        <v>0</v>
      </c>
      <c r="H157" s="879">
        <f t="shared" si="145"/>
        <v>0</v>
      </c>
      <c r="I157" s="905">
        <f t="shared" si="145"/>
        <v>0</v>
      </c>
      <c r="J157" s="853">
        <f t="shared" si="145"/>
        <v>0</v>
      </c>
      <c r="K157" s="802">
        <f t="shared" si="145"/>
        <v>0</v>
      </c>
      <c r="L157" s="931">
        <f t="shared" si="145"/>
        <v>0</v>
      </c>
      <c r="M157" s="549">
        <f t="shared" ref="M157:U157" si="146">SUM(M155:M156)</f>
        <v>0</v>
      </c>
      <c r="N157" s="549">
        <f t="shared" si="146"/>
        <v>0</v>
      </c>
      <c r="O157" s="549">
        <f t="shared" si="146"/>
        <v>0</v>
      </c>
      <c r="P157" s="549">
        <f t="shared" si="146"/>
        <v>0</v>
      </c>
      <c r="Q157" s="549">
        <f t="shared" si="146"/>
        <v>0</v>
      </c>
      <c r="R157" s="549">
        <f t="shared" si="146"/>
        <v>0</v>
      </c>
      <c r="S157" s="549">
        <f t="shared" si="146"/>
        <v>0</v>
      </c>
      <c r="T157" s="549">
        <f t="shared" si="146"/>
        <v>0</v>
      </c>
      <c r="U157" s="26">
        <f t="shared" si="146"/>
        <v>0</v>
      </c>
      <c r="V157" s="10" t="s">
        <v>123</v>
      </c>
      <c r="W157" s="535">
        <f>SUM(W155:W156)</f>
        <v>0</v>
      </c>
      <c r="X157" s="1460">
        <f t="shared" ref="X157:AR157" si="147">SUM(X155:X156)</f>
        <v>0</v>
      </c>
      <c r="Y157" s="957">
        <f t="shared" si="147"/>
        <v>0</v>
      </c>
      <c r="Z157" s="983">
        <f t="shared" si="147"/>
        <v>0</v>
      </c>
      <c r="AA157" s="1352">
        <f t="shared" si="147"/>
        <v>0</v>
      </c>
      <c r="AB157" s="776">
        <f t="shared" si="147"/>
        <v>0</v>
      </c>
      <c r="AC157" s="776">
        <f t="shared" si="147"/>
        <v>0</v>
      </c>
      <c r="AD157" s="1404">
        <f t="shared" si="147"/>
        <v>0</v>
      </c>
      <c r="AE157" s="1404">
        <f t="shared" si="147"/>
        <v>0</v>
      </c>
      <c r="AF157" s="1378">
        <f>SUM(AF155:AF156)</f>
        <v>0</v>
      </c>
      <c r="AG157" s="1378">
        <f>SUM(AG155:AG156)</f>
        <v>0</v>
      </c>
      <c r="AH157" s="746">
        <f>SUM(AH155:AH156)</f>
        <v>0</v>
      </c>
      <c r="AI157" s="746">
        <f>SUM(AI155:AI156)</f>
        <v>0</v>
      </c>
      <c r="AJ157" s="10" t="s">
        <v>123</v>
      </c>
      <c r="AK157" s="535">
        <f>SUM(AK155:AK156)</f>
        <v>0</v>
      </c>
      <c r="AL157" s="535">
        <f>SUM(AL155:AL156)</f>
        <v>0</v>
      </c>
      <c r="AM157" s="1430">
        <f>SUM(AM155:AM156)</f>
        <v>0</v>
      </c>
      <c r="AN157" s="1430">
        <f>SUM(AN155:AN156)</f>
        <v>0</v>
      </c>
      <c r="AO157" s="720">
        <f t="shared" si="147"/>
        <v>0</v>
      </c>
      <c r="AP157" s="720">
        <f t="shared" si="147"/>
        <v>0</v>
      </c>
      <c r="AQ157" s="720">
        <f>SUM(AQ155:AQ156)</f>
        <v>0</v>
      </c>
      <c r="AR157" s="720">
        <f t="shared" si="147"/>
        <v>0</v>
      </c>
      <c r="AS157" s="670">
        <f>SUM(AS155:AS156)</f>
        <v>4500000</v>
      </c>
      <c r="AT157" s="27">
        <f>AS157</f>
        <v>4500000</v>
      </c>
      <c r="AU157" s="694">
        <f>SUM(AU155:AU156)</f>
        <v>0</v>
      </c>
      <c r="AV157" s="1019">
        <f t="shared" si="138"/>
        <v>4500000</v>
      </c>
      <c r="AW157" s="654"/>
    </row>
    <row r="158" spans="1:49" ht="15.75">
      <c r="A158" s="2" t="s">
        <v>124</v>
      </c>
      <c r="B158" s="544"/>
      <c r="C158" s="544"/>
      <c r="D158" s="544"/>
      <c r="E158" s="544"/>
      <c r="F158" s="23">
        <f>SUM(B158:E158)</f>
        <v>0</v>
      </c>
      <c r="G158" s="530"/>
      <c r="H158" s="893"/>
      <c r="I158" s="919"/>
      <c r="J158" s="867"/>
      <c r="K158" s="816"/>
      <c r="L158" s="945"/>
      <c r="M158" s="544"/>
      <c r="N158" s="544"/>
      <c r="O158" s="544"/>
      <c r="P158" s="544"/>
      <c r="Q158" s="544"/>
      <c r="R158" s="544"/>
      <c r="S158" s="544"/>
      <c r="T158" s="544"/>
      <c r="U158" s="23">
        <f>SUM(M158:T158)</f>
        <v>0</v>
      </c>
      <c r="V158" s="2" t="s">
        <v>124</v>
      </c>
      <c r="W158" s="530"/>
      <c r="X158" s="1474"/>
      <c r="Y158" s="971"/>
      <c r="Z158" s="997"/>
      <c r="AA158" s="1366"/>
      <c r="AB158" s="790"/>
      <c r="AC158" s="790"/>
      <c r="AD158" s="1418"/>
      <c r="AE158" s="1418"/>
      <c r="AF158" s="1392"/>
      <c r="AG158" s="1392"/>
      <c r="AH158" s="760"/>
      <c r="AI158" s="760"/>
      <c r="AJ158" s="2" t="s">
        <v>124</v>
      </c>
      <c r="AK158" s="530"/>
      <c r="AL158" s="530"/>
      <c r="AM158" s="1444"/>
      <c r="AN158" s="1444"/>
      <c r="AO158" s="734"/>
      <c r="AP158" s="734"/>
      <c r="AQ158" s="734"/>
      <c r="AR158" s="734"/>
      <c r="AS158" s="680"/>
      <c r="AT158" s="648"/>
      <c r="AU158" s="708"/>
      <c r="AV158" s="1019">
        <f t="shared" si="138"/>
        <v>0</v>
      </c>
      <c r="AW158" s="654"/>
    </row>
    <row r="159" spans="1:49" ht="30.75" thickBot="1">
      <c r="A159" s="1288" t="s">
        <v>125</v>
      </c>
      <c r="B159" s="1498">
        <f t="shared" ref="B159:L159" si="148">B158</f>
        <v>0</v>
      </c>
      <c r="C159" s="1498">
        <f>C158</f>
        <v>0</v>
      </c>
      <c r="D159" s="1498">
        <f>D158</f>
        <v>0</v>
      </c>
      <c r="E159" s="1498">
        <f t="shared" si="148"/>
        <v>0</v>
      </c>
      <c r="F159" s="1605">
        <f t="shared" si="148"/>
        <v>0</v>
      </c>
      <c r="G159" s="1606">
        <f t="shared" si="148"/>
        <v>0</v>
      </c>
      <c r="H159" s="1607">
        <f t="shared" si="148"/>
        <v>0</v>
      </c>
      <c r="I159" s="1608">
        <f t="shared" si="148"/>
        <v>0</v>
      </c>
      <c r="J159" s="1609">
        <f t="shared" si="148"/>
        <v>0</v>
      </c>
      <c r="K159" s="1610">
        <f t="shared" si="148"/>
        <v>0</v>
      </c>
      <c r="L159" s="1611">
        <f t="shared" si="148"/>
        <v>0</v>
      </c>
      <c r="M159" s="1498">
        <f t="shared" ref="M159:U159" si="149">M158</f>
        <v>0</v>
      </c>
      <c r="N159" s="1498">
        <f t="shared" si="149"/>
        <v>0</v>
      </c>
      <c r="O159" s="1498">
        <f t="shared" si="149"/>
        <v>0</v>
      </c>
      <c r="P159" s="1498">
        <f t="shared" si="149"/>
        <v>0</v>
      </c>
      <c r="Q159" s="1498">
        <f t="shared" si="149"/>
        <v>0</v>
      </c>
      <c r="R159" s="1498">
        <f t="shared" si="149"/>
        <v>0</v>
      </c>
      <c r="S159" s="1498">
        <f t="shared" si="149"/>
        <v>0</v>
      </c>
      <c r="T159" s="1498">
        <f t="shared" si="149"/>
        <v>0</v>
      </c>
      <c r="U159" s="1605">
        <f t="shared" si="149"/>
        <v>0</v>
      </c>
      <c r="V159" s="1288" t="s">
        <v>125</v>
      </c>
      <c r="W159" s="1606">
        <f>W158</f>
        <v>0</v>
      </c>
      <c r="X159" s="1612">
        <f t="shared" ref="X159:AR159" si="150">X158</f>
        <v>0</v>
      </c>
      <c r="Y159" s="1613">
        <f t="shared" si="150"/>
        <v>0</v>
      </c>
      <c r="Z159" s="1614">
        <f t="shared" si="150"/>
        <v>0</v>
      </c>
      <c r="AA159" s="1615">
        <f t="shared" si="150"/>
        <v>0</v>
      </c>
      <c r="AB159" s="1616">
        <f t="shared" si="150"/>
        <v>0</v>
      </c>
      <c r="AC159" s="1616">
        <f t="shared" si="150"/>
        <v>0</v>
      </c>
      <c r="AD159" s="1617">
        <f t="shared" si="150"/>
        <v>0</v>
      </c>
      <c r="AE159" s="1617">
        <f t="shared" si="150"/>
        <v>0</v>
      </c>
      <c r="AF159" s="1618">
        <f>AF158</f>
        <v>0</v>
      </c>
      <c r="AG159" s="1618">
        <f>AG158</f>
        <v>0</v>
      </c>
      <c r="AH159" s="1619">
        <f>AH158</f>
        <v>0</v>
      </c>
      <c r="AI159" s="1619">
        <f>AI158</f>
        <v>0</v>
      </c>
      <c r="AJ159" s="1288" t="s">
        <v>125</v>
      </c>
      <c r="AK159" s="1606">
        <f>AK158</f>
        <v>0</v>
      </c>
      <c r="AL159" s="1606">
        <f>AL158</f>
        <v>0</v>
      </c>
      <c r="AM159" s="1620">
        <f>AM158</f>
        <v>0</v>
      </c>
      <c r="AN159" s="1620">
        <f>AN158</f>
        <v>0</v>
      </c>
      <c r="AO159" s="1621">
        <f t="shared" si="150"/>
        <v>0</v>
      </c>
      <c r="AP159" s="1621">
        <f t="shared" si="150"/>
        <v>0</v>
      </c>
      <c r="AQ159" s="1621">
        <f>AQ158</f>
        <v>0</v>
      </c>
      <c r="AR159" s="1621">
        <f t="shared" si="150"/>
        <v>0</v>
      </c>
      <c r="AS159" s="1622"/>
      <c r="AT159" s="1293">
        <f>AT158</f>
        <v>0</v>
      </c>
      <c r="AU159" s="1623">
        <f>AU158</f>
        <v>0</v>
      </c>
      <c r="AV159" s="1020">
        <f t="shared" si="138"/>
        <v>0</v>
      </c>
      <c r="AW159" s="654"/>
    </row>
    <row r="160" spans="1:49" ht="16.5" thickBot="1">
      <c r="A160" s="528" t="s">
        <v>126</v>
      </c>
      <c r="B160" s="551">
        <f t="shared" ref="B160:L160" si="151">B154+B157+B159</f>
        <v>0</v>
      </c>
      <c r="C160" s="551">
        <f>C154+C157+C159</f>
        <v>0</v>
      </c>
      <c r="D160" s="551">
        <f>D154+D157+D159</f>
        <v>0</v>
      </c>
      <c r="E160" s="551">
        <f t="shared" si="151"/>
        <v>0</v>
      </c>
      <c r="F160" s="529">
        <f t="shared" si="151"/>
        <v>0</v>
      </c>
      <c r="G160" s="533">
        <f t="shared" si="151"/>
        <v>0</v>
      </c>
      <c r="H160" s="881">
        <f t="shared" si="151"/>
        <v>0</v>
      </c>
      <c r="I160" s="907">
        <f t="shared" si="151"/>
        <v>0</v>
      </c>
      <c r="J160" s="855">
        <f t="shared" si="151"/>
        <v>0</v>
      </c>
      <c r="K160" s="804">
        <f t="shared" si="151"/>
        <v>0</v>
      </c>
      <c r="L160" s="933">
        <f t="shared" si="151"/>
        <v>0</v>
      </c>
      <c r="M160" s="551">
        <f t="shared" ref="M160:U160" si="152">M154+M157+M159</f>
        <v>0</v>
      </c>
      <c r="N160" s="551">
        <f t="shared" si="152"/>
        <v>0</v>
      </c>
      <c r="O160" s="551">
        <f t="shared" si="152"/>
        <v>0</v>
      </c>
      <c r="P160" s="551">
        <f t="shared" si="152"/>
        <v>0</v>
      </c>
      <c r="Q160" s="551">
        <f t="shared" si="152"/>
        <v>0</v>
      </c>
      <c r="R160" s="551">
        <f t="shared" si="152"/>
        <v>0</v>
      </c>
      <c r="S160" s="551">
        <f t="shared" si="152"/>
        <v>0</v>
      </c>
      <c r="T160" s="551">
        <f t="shared" si="152"/>
        <v>0</v>
      </c>
      <c r="U160" s="529">
        <f t="shared" si="152"/>
        <v>0</v>
      </c>
      <c r="V160" s="528" t="s">
        <v>126</v>
      </c>
      <c r="W160" s="533">
        <f>W154+W157+W159</f>
        <v>0</v>
      </c>
      <c r="X160" s="1462">
        <f t="shared" ref="X160:AR160" si="153">X154+X157+X159</f>
        <v>0</v>
      </c>
      <c r="Y160" s="959">
        <f t="shared" si="153"/>
        <v>0</v>
      </c>
      <c r="Z160" s="985">
        <f t="shared" si="153"/>
        <v>0</v>
      </c>
      <c r="AA160" s="1354">
        <f t="shared" si="153"/>
        <v>0</v>
      </c>
      <c r="AB160" s="778">
        <f t="shared" si="153"/>
        <v>0</v>
      </c>
      <c r="AC160" s="778">
        <f t="shared" si="153"/>
        <v>0</v>
      </c>
      <c r="AD160" s="1406">
        <f t="shared" si="153"/>
        <v>0</v>
      </c>
      <c r="AE160" s="1406">
        <f t="shared" si="153"/>
        <v>0</v>
      </c>
      <c r="AF160" s="1380">
        <f>AF154+AF157+AF159</f>
        <v>0</v>
      </c>
      <c r="AG160" s="1380">
        <f>AG154+AG157+AG159</f>
        <v>0</v>
      </c>
      <c r="AH160" s="748">
        <f>AH154+AH157+AH159</f>
        <v>0</v>
      </c>
      <c r="AI160" s="748">
        <f>AI154+AI157+AI159</f>
        <v>0</v>
      </c>
      <c r="AJ160" s="528" t="s">
        <v>126</v>
      </c>
      <c r="AK160" s="533">
        <f>AK154+AK157+AK159</f>
        <v>0</v>
      </c>
      <c r="AL160" s="533">
        <f>AL154+AL157+AL159</f>
        <v>0</v>
      </c>
      <c r="AM160" s="1432">
        <f>AM154+AM157+AM159</f>
        <v>0</v>
      </c>
      <c r="AN160" s="1432">
        <f>AN154+AN157+AN159</f>
        <v>0</v>
      </c>
      <c r="AO160" s="722">
        <f t="shared" si="153"/>
        <v>0</v>
      </c>
      <c r="AP160" s="722">
        <f t="shared" si="153"/>
        <v>0</v>
      </c>
      <c r="AQ160" s="722">
        <f>AQ154+AQ157+AQ159</f>
        <v>0</v>
      </c>
      <c r="AR160" s="722">
        <f t="shared" si="153"/>
        <v>0</v>
      </c>
      <c r="AS160" s="1006">
        <f>AS154+AS157+AS159</f>
        <v>15000000</v>
      </c>
      <c r="AT160" s="574">
        <f>AS160</f>
        <v>15000000</v>
      </c>
      <c r="AU160" s="696">
        <f>AU154+AU157+AU159</f>
        <v>0</v>
      </c>
      <c r="AV160" s="25">
        <f t="shared" si="138"/>
        <v>15000000</v>
      </c>
      <c r="AW160" s="654"/>
    </row>
    <row r="161" spans="1:49" ht="15.75">
      <c r="A161" s="16" t="s">
        <v>127</v>
      </c>
      <c r="B161" s="554"/>
      <c r="C161" s="554"/>
      <c r="D161" s="554"/>
      <c r="E161" s="554"/>
      <c r="F161" s="22">
        <f>SUM(B161:E161)</f>
        <v>0</v>
      </c>
      <c r="G161" s="539"/>
      <c r="H161" s="892"/>
      <c r="I161" s="918"/>
      <c r="J161" s="866"/>
      <c r="K161" s="815"/>
      <c r="L161" s="944"/>
      <c r="M161" s="554"/>
      <c r="N161" s="554"/>
      <c r="O161" s="554"/>
      <c r="P161" s="554"/>
      <c r="Q161" s="554"/>
      <c r="R161" s="554"/>
      <c r="S161" s="554"/>
      <c r="T161" s="554"/>
      <c r="U161" s="22">
        <f>SUM(M161:T161)</f>
        <v>0</v>
      </c>
      <c r="V161" s="16" t="s">
        <v>127</v>
      </c>
      <c r="W161" s="539"/>
      <c r="X161" s="1473"/>
      <c r="Y161" s="970"/>
      <c r="Z161" s="996"/>
      <c r="AA161" s="1365"/>
      <c r="AB161" s="789"/>
      <c r="AC161" s="789"/>
      <c r="AD161" s="1417"/>
      <c r="AE161" s="1417"/>
      <c r="AF161" s="1391"/>
      <c r="AG161" s="1391"/>
      <c r="AH161" s="759"/>
      <c r="AI161" s="759"/>
      <c r="AJ161" s="16" t="s">
        <v>127</v>
      </c>
      <c r="AK161" s="539"/>
      <c r="AL161" s="539"/>
      <c r="AM161" s="1443"/>
      <c r="AN161" s="1443"/>
      <c r="AO161" s="733"/>
      <c r="AP161" s="733"/>
      <c r="AQ161" s="733"/>
      <c r="AR161" s="733"/>
      <c r="AS161" s="682"/>
      <c r="AT161" s="638"/>
      <c r="AU161" s="707"/>
      <c r="AV161" s="25">
        <f t="shared" si="138"/>
        <v>0</v>
      </c>
      <c r="AW161" s="654"/>
    </row>
    <row r="162" spans="1:49" ht="15.75">
      <c r="A162" s="10" t="s">
        <v>128</v>
      </c>
      <c r="B162" s="549"/>
      <c r="C162" s="549"/>
      <c r="D162" s="549"/>
      <c r="E162" s="549"/>
      <c r="F162" s="23">
        <f>SUM(B162:E162)</f>
        <v>0</v>
      </c>
      <c r="G162" s="536"/>
      <c r="H162" s="890"/>
      <c r="I162" s="916"/>
      <c r="J162" s="864"/>
      <c r="K162" s="813"/>
      <c r="L162" s="942"/>
      <c r="M162" s="549"/>
      <c r="N162" s="549"/>
      <c r="O162" s="549"/>
      <c r="P162" s="549"/>
      <c r="Q162" s="549"/>
      <c r="R162" s="549"/>
      <c r="S162" s="549"/>
      <c r="T162" s="549"/>
      <c r="U162" s="23">
        <f>SUM(M162:T162)</f>
        <v>0</v>
      </c>
      <c r="V162" s="10" t="s">
        <v>128</v>
      </c>
      <c r="W162" s="536"/>
      <c r="X162" s="1471"/>
      <c r="Y162" s="968"/>
      <c r="Z162" s="994"/>
      <c r="AA162" s="1363"/>
      <c r="AB162" s="787"/>
      <c r="AC162" s="787"/>
      <c r="AD162" s="1415"/>
      <c r="AE162" s="1415"/>
      <c r="AF162" s="1389"/>
      <c r="AG162" s="1389"/>
      <c r="AH162" s="757"/>
      <c r="AI162" s="757"/>
      <c r="AJ162" s="10" t="s">
        <v>128</v>
      </c>
      <c r="AK162" s="536"/>
      <c r="AL162" s="536"/>
      <c r="AM162" s="1441"/>
      <c r="AN162" s="1441"/>
      <c r="AO162" s="731"/>
      <c r="AP162" s="731"/>
      <c r="AQ162" s="731"/>
      <c r="AR162" s="731"/>
      <c r="AS162" s="1603">
        <v>80000</v>
      </c>
      <c r="AT162" s="27">
        <f>AS162</f>
        <v>80000</v>
      </c>
      <c r="AU162" s="705"/>
      <c r="AV162" s="1019">
        <f t="shared" si="138"/>
        <v>80000</v>
      </c>
      <c r="AW162" s="654"/>
    </row>
    <row r="163" spans="1:49" ht="15.75">
      <c r="A163" s="10" t="s">
        <v>129</v>
      </c>
      <c r="B163" s="549"/>
      <c r="C163" s="549"/>
      <c r="D163" s="549"/>
      <c r="E163" s="549"/>
      <c r="F163" s="23">
        <f>SUM(B163:E163)</f>
        <v>0</v>
      </c>
      <c r="G163" s="536"/>
      <c r="H163" s="890"/>
      <c r="I163" s="916"/>
      <c r="J163" s="864"/>
      <c r="K163" s="813"/>
      <c r="L163" s="942"/>
      <c r="M163" s="549"/>
      <c r="N163" s="549"/>
      <c r="O163" s="549"/>
      <c r="P163" s="549"/>
      <c r="Q163" s="549"/>
      <c r="R163" s="549"/>
      <c r="S163" s="549"/>
      <c r="T163" s="549"/>
      <c r="U163" s="23">
        <f>SUM(M163:T163)</f>
        <v>0</v>
      </c>
      <c r="V163" s="10" t="s">
        <v>129</v>
      </c>
      <c r="W163" s="536"/>
      <c r="X163" s="1471"/>
      <c r="Y163" s="968"/>
      <c r="Z163" s="994"/>
      <c r="AA163" s="1363"/>
      <c r="AB163" s="787"/>
      <c r="AC163" s="787"/>
      <c r="AD163" s="1415"/>
      <c r="AE163" s="1415"/>
      <c r="AF163" s="1389"/>
      <c r="AG163" s="1389"/>
      <c r="AH163" s="757"/>
      <c r="AI163" s="757"/>
      <c r="AJ163" s="10" t="s">
        <v>129</v>
      </c>
      <c r="AK163" s="536"/>
      <c r="AL163" s="536"/>
      <c r="AM163" s="1441"/>
      <c r="AN163" s="1441"/>
      <c r="AO163" s="731"/>
      <c r="AP163" s="731"/>
      <c r="AQ163" s="731"/>
      <c r="AR163" s="731"/>
      <c r="AS163" s="1603">
        <v>50000</v>
      </c>
      <c r="AT163" s="27">
        <f>AS163</f>
        <v>50000</v>
      </c>
      <c r="AU163" s="705"/>
      <c r="AV163" s="1019">
        <f t="shared" si="138"/>
        <v>50000</v>
      </c>
      <c r="AW163" s="654"/>
    </row>
    <row r="164" spans="1:49" ht="30">
      <c r="A164" s="10" t="s">
        <v>130</v>
      </c>
      <c r="B164" s="549"/>
      <c r="C164" s="549"/>
      <c r="D164" s="549"/>
      <c r="E164" s="549"/>
      <c r="F164" s="23">
        <f>SUM(B164:E164)</f>
        <v>0</v>
      </c>
      <c r="G164" s="536"/>
      <c r="H164" s="890"/>
      <c r="I164" s="916"/>
      <c r="J164" s="864"/>
      <c r="K164" s="813"/>
      <c r="L164" s="942"/>
      <c r="M164" s="549"/>
      <c r="N164" s="549"/>
      <c r="O164" s="549"/>
      <c r="P164" s="549"/>
      <c r="Q164" s="549"/>
      <c r="R164" s="549"/>
      <c r="S164" s="549"/>
      <c r="T164" s="549"/>
      <c r="U164" s="23">
        <f>SUM(M164:T164)</f>
        <v>0</v>
      </c>
      <c r="V164" s="10" t="s">
        <v>130</v>
      </c>
      <c r="W164" s="536"/>
      <c r="X164" s="1471"/>
      <c r="Y164" s="968"/>
      <c r="Z164" s="994"/>
      <c r="AA164" s="1363"/>
      <c r="AB164" s="787"/>
      <c r="AC164" s="787"/>
      <c r="AD164" s="1415"/>
      <c r="AE164" s="1415"/>
      <c r="AF164" s="1389"/>
      <c r="AG164" s="1389"/>
      <c r="AH164" s="757"/>
      <c r="AI164" s="757"/>
      <c r="AJ164" s="10" t="s">
        <v>130</v>
      </c>
      <c r="AK164" s="536"/>
      <c r="AL164" s="536"/>
      <c r="AM164" s="1441"/>
      <c r="AN164" s="1441"/>
      <c r="AO164" s="731"/>
      <c r="AP164" s="731"/>
      <c r="AQ164" s="731"/>
      <c r="AR164" s="731"/>
      <c r="AS164" s="1603"/>
      <c r="AT164" s="27"/>
      <c r="AU164" s="705"/>
      <c r="AV164" s="1019">
        <f t="shared" si="138"/>
        <v>0</v>
      </c>
      <c r="AW164" s="654"/>
    </row>
    <row r="165" spans="1:49" ht="16.5" thickBot="1">
      <c r="A165" s="1288" t="s">
        <v>131</v>
      </c>
      <c r="B165" s="1498"/>
      <c r="C165" s="1498"/>
      <c r="D165" s="1498"/>
      <c r="E165" s="1498"/>
      <c r="F165" s="1499">
        <f>SUM(B165:E165)</f>
        <v>0</v>
      </c>
      <c r="G165" s="1567"/>
      <c r="H165" s="1568"/>
      <c r="I165" s="1569"/>
      <c r="J165" s="1570"/>
      <c r="K165" s="1571"/>
      <c r="L165" s="1572"/>
      <c r="M165" s="1498"/>
      <c r="N165" s="1498"/>
      <c r="O165" s="1498"/>
      <c r="P165" s="1498"/>
      <c r="Q165" s="1498"/>
      <c r="R165" s="1498"/>
      <c r="S165" s="1498"/>
      <c r="T165" s="1498"/>
      <c r="U165" s="1499">
        <f>SUM(M165:T165)</f>
        <v>0</v>
      </c>
      <c r="V165" s="1288" t="s">
        <v>131</v>
      </c>
      <c r="W165" s="1567"/>
      <c r="X165" s="1573"/>
      <c r="Y165" s="1574"/>
      <c r="Z165" s="1575"/>
      <c r="AA165" s="1576"/>
      <c r="AB165" s="1577"/>
      <c r="AC165" s="1577"/>
      <c r="AD165" s="1578"/>
      <c r="AE165" s="1578"/>
      <c r="AF165" s="1579"/>
      <c r="AG165" s="1579"/>
      <c r="AH165" s="1299"/>
      <c r="AI165" s="1299"/>
      <c r="AJ165" s="1288" t="s">
        <v>131</v>
      </c>
      <c r="AK165" s="1567"/>
      <c r="AL165" s="1567"/>
      <c r="AM165" s="1580"/>
      <c r="AN165" s="1580"/>
      <c r="AO165" s="1581"/>
      <c r="AP165" s="1581"/>
      <c r="AQ165" s="1581"/>
      <c r="AR165" s="1581"/>
      <c r="AS165" s="1516"/>
      <c r="AT165" s="1293"/>
      <c r="AU165" s="1582"/>
      <c r="AV165" s="1020">
        <f t="shared" si="138"/>
        <v>0</v>
      </c>
      <c r="AW165" s="654"/>
    </row>
    <row r="166" spans="1:49" ht="16.5" thickBot="1">
      <c r="A166" s="528" t="s">
        <v>132</v>
      </c>
      <c r="B166" s="551">
        <f t="shared" ref="B166:L166" si="154">SUM(B161:B165)</f>
        <v>0</v>
      </c>
      <c r="C166" s="551">
        <f>SUM(C161:C165)</f>
        <v>0</v>
      </c>
      <c r="D166" s="551">
        <f>SUM(D161:D165)</f>
        <v>0</v>
      </c>
      <c r="E166" s="551">
        <f t="shared" si="154"/>
        <v>0</v>
      </c>
      <c r="F166" s="529">
        <f t="shared" si="154"/>
        <v>0</v>
      </c>
      <c r="G166" s="533">
        <f t="shared" si="154"/>
        <v>0</v>
      </c>
      <c r="H166" s="881">
        <f t="shared" si="154"/>
        <v>0</v>
      </c>
      <c r="I166" s="907">
        <f t="shared" si="154"/>
        <v>0</v>
      </c>
      <c r="J166" s="855">
        <f t="shared" si="154"/>
        <v>0</v>
      </c>
      <c r="K166" s="804">
        <f t="shared" si="154"/>
        <v>0</v>
      </c>
      <c r="L166" s="933">
        <f t="shared" si="154"/>
        <v>0</v>
      </c>
      <c r="M166" s="551">
        <f t="shared" ref="M166:U166" si="155">SUM(M161:M165)</f>
        <v>0</v>
      </c>
      <c r="N166" s="551">
        <f t="shared" si="155"/>
        <v>0</v>
      </c>
      <c r="O166" s="551">
        <f t="shared" si="155"/>
        <v>0</v>
      </c>
      <c r="P166" s="551">
        <f t="shared" si="155"/>
        <v>0</v>
      </c>
      <c r="Q166" s="551">
        <f t="shared" si="155"/>
        <v>0</v>
      </c>
      <c r="R166" s="551">
        <f t="shared" si="155"/>
        <v>0</v>
      </c>
      <c r="S166" s="551">
        <f t="shared" si="155"/>
        <v>0</v>
      </c>
      <c r="T166" s="551">
        <f t="shared" si="155"/>
        <v>0</v>
      </c>
      <c r="U166" s="529">
        <f t="shared" si="155"/>
        <v>0</v>
      </c>
      <c r="V166" s="528" t="s">
        <v>132</v>
      </c>
      <c r="W166" s="533">
        <f>SUM(W161:W165)</f>
        <v>0</v>
      </c>
      <c r="X166" s="1462">
        <f t="shared" ref="X166:AR166" si="156">SUM(X161:X165)</f>
        <v>0</v>
      </c>
      <c r="Y166" s="959">
        <f t="shared" si="156"/>
        <v>0</v>
      </c>
      <c r="Z166" s="985">
        <f t="shared" si="156"/>
        <v>0</v>
      </c>
      <c r="AA166" s="1354">
        <f t="shared" si="156"/>
        <v>0</v>
      </c>
      <c r="AB166" s="778">
        <f t="shared" si="156"/>
        <v>0</v>
      </c>
      <c r="AC166" s="778">
        <f t="shared" si="156"/>
        <v>0</v>
      </c>
      <c r="AD166" s="1406">
        <f t="shared" si="156"/>
        <v>0</v>
      </c>
      <c r="AE166" s="1406">
        <f t="shared" si="156"/>
        <v>0</v>
      </c>
      <c r="AF166" s="1380">
        <f>SUM(AF161:AF165)</f>
        <v>0</v>
      </c>
      <c r="AG166" s="1380">
        <f>SUM(AG161:AG165)</f>
        <v>0</v>
      </c>
      <c r="AH166" s="748">
        <f>SUM(AH161:AH165)</f>
        <v>0</v>
      </c>
      <c r="AI166" s="748">
        <f>SUM(AI161:AI165)</f>
        <v>0</v>
      </c>
      <c r="AJ166" s="528" t="s">
        <v>132</v>
      </c>
      <c r="AK166" s="533">
        <f>SUM(AK161:AK165)</f>
        <v>0</v>
      </c>
      <c r="AL166" s="533">
        <f>SUM(AL161:AL165)</f>
        <v>0</v>
      </c>
      <c r="AM166" s="1432">
        <f>SUM(AM161:AM165)</f>
        <v>0</v>
      </c>
      <c r="AN166" s="1432">
        <f>SUM(AN161:AN165)</f>
        <v>0</v>
      </c>
      <c r="AO166" s="722">
        <f t="shared" si="156"/>
        <v>0</v>
      </c>
      <c r="AP166" s="722">
        <f t="shared" si="156"/>
        <v>0</v>
      </c>
      <c r="AQ166" s="722">
        <f>SUM(AQ161:AQ165)</f>
        <v>0</v>
      </c>
      <c r="AR166" s="722">
        <f t="shared" si="156"/>
        <v>0</v>
      </c>
      <c r="AS166" s="672">
        <f>SUM(AS161:AS165)</f>
        <v>130000</v>
      </c>
      <c r="AT166" s="574">
        <f>SUM(AT161:AT165)</f>
        <v>130000</v>
      </c>
      <c r="AU166" s="696">
        <f>SUM(AU161:AU165)</f>
        <v>0</v>
      </c>
      <c r="AV166" s="25">
        <f t="shared" si="138"/>
        <v>130000</v>
      </c>
      <c r="AW166" s="654"/>
    </row>
    <row r="167" spans="1:49" ht="16.5" thickBot="1">
      <c r="A167" s="13" t="s">
        <v>133</v>
      </c>
      <c r="B167" s="577">
        <f t="shared" ref="B167:L167" si="157">B151+B160+B166</f>
        <v>0</v>
      </c>
      <c r="C167" s="577">
        <f>C151+C160+C166</f>
        <v>0</v>
      </c>
      <c r="D167" s="577">
        <f>D151+D160+D166</f>
        <v>0</v>
      </c>
      <c r="E167" s="577">
        <f t="shared" si="157"/>
        <v>0</v>
      </c>
      <c r="F167" s="578">
        <f t="shared" si="157"/>
        <v>0</v>
      </c>
      <c r="G167" s="579">
        <f t="shared" si="157"/>
        <v>0</v>
      </c>
      <c r="H167" s="886">
        <f t="shared" si="157"/>
        <v>0</v>
      </c>
      <c r="I167" s="912">
        <f t="shared" si="157"/>
        <v>0</v>
      </c>
      <c r="J167" s="860">
        <f t="shared" si="157"/>
        <v>0</v>
      </c>
      <c r="K167" s="809">
        <f t="shared" si="157"/>
        <v>0</v>
      </c>
      <c r="L167" s="938">
        <f t="shared" si="157"/>
        <v>0</v>
      </c>
      <c r="M167" s="577">
        <f t="shared" ref="M167:U167" si="158">M151+M160+M166</f>
        <v>0</v>
      </c>
      <c r="N167" s="577">
        <f t="shared" si="158"/>
        <v>0</v>
      </c>
      <c r="O167" s="577">
        <f t="shared" si="158"/>
        <v>0</v>
      </c>
      <c r="P167" s="577">
        <f t="shared" si="158"/>
        <v>0</v>
      </c>
      <c r="Q167" s="577">
        <f t="shared" si="158"/>
        <v>0</v>
      </c>
      <c r="R167" s="577">
        <f t="shared" si="158"/>
        <v>0</v>
      </c>
      <c r="S167" s="577">
        <f t="shared" si="158"/>
        <v>0</v>
      </c>
      <c r="T167" s="577">
        <f t="shared" si="158"/>
        <v>0</v>
      </c>
      <c r="U167" s="578">
        <f t="shared" si="158"/>
        <v>0</v>
      </c>
      <c r="V167" s="13" t="s">
        <v>133</v>
      </c>
      <c r="W167" s="579">
        <f>W151+W160+W166</f>
        <v>0</v>
      </c>
      <c r="X167" s="1467">
        <f t="shared" ref="X167:AR167" si="159">X151+X160+X166</f>
        <v>0</v>
      </c>
      <c r="Y167" s="964">
        <f t="shared" si="159"/>
        <v>0</v>
      </c>
      <c r="Z167" s="990">
        <f t="shared" si="159"/>
        <v>0</v>
      </c>
      <c r="AA167" s="1359">
        <f t="shared" si="159"/>
        <v>0</v>
      </c>
      <c r="AB167" s="783">
        <f t="shared" si="159"/>
        <v>0</v>
      </c>
      <c r="AC167" s="783">
        <f t="shared" si="159"/>
        <v>0</v>
      </c>
      <c r="AD167" s="1411">
        <f t="shared" si="159"/>
        <v>0</v>
      </c>
      <c r="AE167" s="1411">
        <f t="shared" si="159"/>
        <v>0</v>
      </c>
      <c r="AF167" s="1385">
        <f>AF151+AF160+AF166</f>
        <v>0</v>
      </c>
      <c r="AG167" s="1385">
        <f>AG151+AG160+AG166</f>
        <v>0</v>
      </c>
      <c r="AH167" s="753">
        <f>AH151+AH160+AH166</f>
        <v>0</v>
      </c>
      <c r="AI167" s="753">
        <f>AI151+AI160+AI166</f>
        <v>0</v>
      </c>
      <c r="AJ167" s="13" t="s">
        <v>133</v>
      </c>
      <c r="AK167" s="579">
        <f>AK151+AK160+AK166</f>
        <v>0</v>
      </c>
      <c r="AL167" s="579">
        <f>AL151+AL160+AL166</f>
        <v>0</v>
      </c>
      <c r="AM167" s="1437">
        <f>AM151+AM160+AM166</f>
        <v>0</v>
      </c>
      <c r="AN167" s="1437">
        <f>AN151+AN160+AN166</f>
        <v>0</v>
      </c>
      <c r="AO167" s="727">
        <f t="shared" si="159"/>
        <v>0</v>
      </c>
      <c r="AP167" s="727">
        <f t="shared" si="159"/>
        <v>0</v>
      </c>
      <c r="AQ167" s="727">
        <f>AQ151+AQ160+AQ166</f>
        <v>0</v>
      </c>
      <c r="AR167" s="727">
        <f t="shared" si="159"/>
        <v>0</v>
      </c>
      <c r="AS167" s="676">
        <f>AS151+AS160+AS166</f>
        <v>18830000</v>
      </c>
      <c r="AT167" s="633">
        <f>AT151+AT160+AT166</f>
        <v>18830000</v>
      </c>
      <c r="AU167" s="701">
        <f>AU151+AU160+AU166</f>
        <v>0</v>
      </c>
      <c r="AV167" s="1108">
        <f>SUM(B167:AU167)-SUM(M167:T167)-SUM(B167:E167)-AS167</f>
        <v>18830000</v>
      </c>
      <c r="AW167" s="654"/>
    </row>
    <row r="168" spans="1:49" ht="60">
      <c r="A168" s="587" t="s">
        <v>755</v>
      </c>
      <c r="B168" s="616"/>
      <c r="C168" s="616"/>
      <c r="D168" s="616"/>
      <c r="E168" s="616"/>
      <c r="F168" s="588">
        <f>SUM(B168,E168)</f>
        <v>0</v>
      </c>
      <c r="G168" s="589"/>
      <c r="H168" s="896">
        <f>345120+120000+1000000</f>
        <v>1465120</v>
      </c>
      <c r="I168" s="922"/>
      <c r="J168" s="870"/>
      <c r="K168" s="819"/>
      <c r="L168" s="948"/>
      <c r="M168" s="616"/>
      <c r="N168" s="616"/>
      <c r="O168" s="616"/>
      <c r="P168" s="616"/>
      <c r="Q168" s="616"/>
      <c r="R168" s="616"/>
      <c r="S168" s="616"/>
      <c r="T168" s="616"/>
      <c r="U168" s="588">
        <f>SUM(M168,T168)</f>
        <v>0</v>
      </c>
      <c r="V168" s="587" t="s">
        <v>173</v>
      </c>
      <c r="W168" s="589"/>
      <c r="X168" s="1477"/>
      <c r="Y168" s="974"/>
      <c r="Z168" s="1000"/>
      <c r="AA168" s="1369">
        <f>51520*7</f>
        <v>360640</v>
      </c>
      <c r="AB168" s="793"/>
      <c r="AC168" s="793"/>
      <c r="AD168" s="1421"/>
      <c r="AE168" s="1421"/>
      <c r="AF168" s="1395"/>
      <c r="AG168" s="1395"/>
      <c r="AH168" s="767"/>
      <c r="AI168" s="767"/>
      <c r="AJ168" s="587" t="s">
        <v>173</v>
      </c>
      <c r="AK168" s="589"/>
      <c r="AL168" s="589"/>
      <c r="AM168" s="1447"/>
      <c r="AN168" s="1447"/>
      <c r="AO168" s="737"/>
      <c r="AP168" s="737"/>
      <c r="AQ168" s="737"/>
      <c r="AR168" s="737"/>
      <c r="AS168" s="684"/>
      <c r="AT168" s="644"/>
      <c r="AU168" s="711"/>
      <c r="AV168" s="25">
        <f t="shared" ref="AV168:AV195" si="160">SUM(B168:AU168)-SUM(M168:T168)-SUM(B168:E168)</f>
        <v>1825760</v>
      </c>
      <c r="AW168" s="654"/>
    </row>
    <row r="169" spans="1:49" ht="30">
      <c r="A169" s="524" t="s">
        <v>174</v>
      </c>
      <c r="B169" s="617"/>
      <c r="C169" s="617"/>
      <c r="D169" s="617"/>
      <c r="E169" s="617">
        <f>E60</f>
        <v>48000</v>
      </c>
      <c r="F169" s="30">
        <f t="shared" ref="F169:F176" si="161">SUM(B169:E169)</f>
        <v>48000</v>
      </c>
      <c r="G169" s="541"/>
      <c r="H169" s="897"/>
      <c r="I169" s="923">
        <f>I60</f>
        <v>108000</v>
      </c>
      <c r="J169" s="871"/>
      <c r="K169" s="820"/>
      <c r="L169" s="949"/>
      <c r="M169" s="617"/>
      <c r="N169" s="617"/>
      <c r="O169" s="617"/>
      <c r="P169" s="617"/>
      <c r="Q169" s="617"/>
      <c r="R169" s="617"/>
      <c r="S169" s="617"/>
      <c r="T169" s="617"/>
      <c r="U169" s="30">
        <f t="shared" ref="U169:U176" si="162">SUM(M169:T169)</f>
        <v>0</v>
      </c>
      <c r="V169" s="524" t="s">
        <v>174</v>
      </c>
      <c r="W169" s="541"/>
      <c r="X169" s="1478"/>
      <c r="Y169" s="975"/>
      <c r="Z169" s="1001">
        <f>Z60</f>
        <v>12000</v>
      </c>
      <c r="AA169" s="1370"/>
      <c r="AB169" s="794">
        <f>AB60</f>
        <v>36000</v>
      </c>
      <c r="AC169" s="794"/>
      <c r="AD169" s="1422"/>
      <c r="AE169" s="1422"/>
      <c r="AF169" s="1396"/>
      <c r="AG169" s="1396">
        <f>AG60</f>
        <v>12000</v>
      </c>
      <c r="AH169" s="768"/>
      <c r="AI169" s="768"/>
      <c r="AJ169" s="524" t="s">
        <v>174</v>
      </c>
      <c r="AK169" s="541"/>
      <c r="AL169" s="541"/>
      <c r="AM169" s="1448"/>
      <c r="AN169" s="1448"/>
      <c r="AO169" s="738"/>
      <c r="AP169" s="738"/>
      <c r="AQ169" s="738">
        <f>AQ60</f>
        <v>12000</v>
      </c>
      <c r="AR169" s="738"/>
      <c r="AS169" s="685"/>
      <c r="AT169" s="645"/>
      <c r="AU169" s="712"/>
      <c r="AV169" s="1019">
        <f t="shared" si="160"/>
        <v>228000</v>
      </c>
      <c r="AW169" s="654"/>
    </row>
    <row r="170" spans="1:49" ht="45">
      <c r="A170" s="10" t="s">
        <v>134</v>
      </c>
      <c r="B170" s="549"/>
      <c r="C170" s="549"/>
      <c r="D170" s="549"/>
      <c r="E170" s="549"/>
      <c r="F170" s="30">
        <f t="shared" si="161"/>
        <v>0</v>
      </c>
      <c r="G170" s="536"/>
      <c r="H170" s="890"/>
      <c r="I170" s="916">
        <f>300000</f>
        <v>300000</v>
      </c>
      <c r="J170" s="864"/>
      <c r="K170" s="813"/>
      <c r="L170" s="942"/>
      <c r="M170" s="549"/>
      <c r="N170" s="549"/>
      <c r="O170" s="549"/>
      <c r="P170" s="549"/>
      <c r="Q170" s="549"/>
      <c r="R170" s="549"/>
      <c r="S170" s="549"/>
      <c r="T170" s="549"/>
      <c r="U170" s="30">
        <f t="shared" si="162"/>
        <v>0</v>
      </c>
      <c r="V170" s="10" t="s">
        <v>134</v>
      </c>
      <c r="W170" s="536"/>
      <c r="X170" s="1471"/>
      <c r="Y170" s="968"/>
      <c r="Z170" s="994"/>
      <c r="AA170" s="1363"/>
      <c r="AB170" s="787"/>
      <c r="AC170" s="787"/>
      <c r="AD170" s="1415"/>
      <c r="AE170" s="1415"/>
      <c r="AF170" s="1389"/>
      <c r="AG170" s="1389"/>
      <c r="AH170" s="757"/>
      <c r="AI170" s="757"/>
      <c r="AJ170" s="10" t="s">
        <v>134</v>
      </c>
      <c r="AK170" s="536"/>
      <c r="AL170" s="536"/>
      <c r="AM170" s="1441"/>
      <c r="AN170" s="1441"/>
      <c r="AO170" s="731"/>
      <c r="AP170" s="731"/>
      <c r="AQ170" s="731"/>
      <c r="AR170" s="731"/>
      <c r="AS170" s="685"/>
      <c r="AT170" s="27"/>
      <c r="AU170" s="705"/>
      <c r="AV170" s="1019">
        <f t="shared" si="160"/>
        <v>300000</v>
      </c>
      <c r="AW170" s="654"/>
    </row>
    <row r="171" spans="1:49" ht="15.75">
      <c r="A171" s="11" t="s">
        <v>135</v>
      </c>
      <c r="B171" s="552">
        <f>B170</f>
        <v>0</v>
      </c>
      <c r="C171" s="552">
        <f>C170</f>
        <v>0</v>
      </c>
      <c r="D171" s="552">
        <f>D170</f>
        <v>0</v>
      </c>
      <c r="E171" s="552">
        <f>E170</f>
        <v>0</v>
      </c>
      <c r="F171" s="30">
        <f t="shared" si="161"/>
        <v>0</v>
      </c>
      <c r="G171" s="537">
        <f t="shared" ref="G171:T171" si="163">G170</f>
        <v>0</v>
      </c>
      <c r="H171" s="889">
        <f t="shared" si="163"/>
        <v>0</v>
      </c>
      <c r="I171" s="915">
        <f t="shared" si="163"/>
        <v>300000</v>
      </c>
      <c r="J171" s="863">
        <f t="shared" si="163"/>
        <v>0</v>
      </c>
      <c r="K171" s="812">
        <f t="shared" si="163"/>
        <v>0</v>
      </c>
      <c r="L171" s="941">
        <f t="shared" si="163"/>
        <v>0</v>
      </c>
      <c r="M171" s="552">
        <f t="shared" si="163"/>
        <v>0</v>
      </c>
      <c r="N171" s="552">
        <f t="shared" si="163"/>
        <v>0</v>
      </c>
      <c r="O171" s="552">
        <f t="shared" si="163"/>
        <v>0</v>
      </c>
      <c r="P171" s="552">
        <f t="shared" si="163"/>
        <v>0</v>
      </c>
      <c r="Q171" s="552">
        <f t="shared" si="163"/>
        <v>0</v>
      </c>
      <c r="R171" s="552">
        <f t="shared" si="163"/>
        <v>0</v>
      </c>
      <c r="S171" s="552">
        <f t="shared" si="163"/>
        <v>0</v>
      </c>
      <c r="T171" s="552">
        <f t="shared" si="163"/>
        <v>0</v>
      </c>
      <c r="U171" s="30">
        <f t="shared" si="162"/>
        <v>0</v>
      </c>
      <c r="V171" s="11" t="s">
        <v>135</v>
      </c>
      <c r="W171" s="537">
        <f>W170</f>
        <v>0</v>
      </c>
      <c r="X171" s="1470">
        <f t="shared" ref="X171:AR171" si="164">X170</f>
        <v>0</v>
      </c>
      <c r="Y171" s="967">
        <f t="shared" si="164"/>
        <v>0</v>
      </c>
      <c r="Z171" s="993">
        <f t="shared" si="164"/>
        <v>0</v>
      </c>
      <c r="AA171" s="1362">
        <f t="shared" si="164"/>
        <v>0</v>
      </c>
      <c r="AB171" s="786">
        <f t="shared" si="164"/>
        <v>0</v>
      </c>
      <c r="AC171" s="786">
        <f t="shared" si="164"/>
        <v>0</v>
      </c>
      <c r="AD171" s="1414">
        <f t="shared" si="164"/>
        <v>0</v>
      </c>
      <c r="AE171" s="1414">
        <f t="shared" si="164"/>
        <v>0</v>
      </c>
      <c r="AF171" s="1388">
        <f>AF170</f>
        <v>0</v>
      </c>
      <c r="AG171" s="1388">
        <f>AG170</f>
        <v>0</v>
      </c>
      <c r="AH171" s="756">
        <f>AH170</f>
        <v>0</v>
      </c>
      <c r="AI171" s="756">
        <f>AI170</f>
        <v>0</v>
      </c>
      <c r="AJ171" s="11" t="s">
        <v>135</v>
      </c>
      <c r="AK171" s="537">
        <f>AK170</f>
        <v>0</v>
      </c>
      <c r="AL171" s="537">
        <f>AL170</f>
        <v>0</v>
      </c>
      <c r="AM171" s="1440">
        <f>AM170</f>
        <v>0</v>
      </c>
      <c r="AN171" s="1440">
        <f>AN170</f>
        <v>0</v>
      </c>
      <c r="AO171" s="730">
        <f t="shared" si="164"/>
        <v>0</v>
      </c>
      <c r="AP171" s="730">
        <f t="shared" si="164"/>
        <v>0</v>
      </c>
      <c r="AQ171" s="730">
        <f>AQ170</f>
        <v>0</v>
      </c>
      <c r="AR171" s="730">
        <f t="shared" si="164"/>
        <v>0</v>
      </c>
      <c r="AS171" s="685"/>
      <c r="AT171" s="636">
        <f>AT170</f>
        <v>0</v>
      </c>
      <c r="AU171" s="704">
        <f>AU170</f>
        <v>0</v>
      </c>
      <c r="AV171" s="1019">
        <f t="shared" si="160"/>
        <v>300000</v>
      </c>
      <c r="AW171" s="654"/>
    </row>
    <row r="172" spans="1:49" ht="15.75">
      <c r="A172" s="11" t="s">
        <v>136</v>
      </c>
      <c r="B172" s="552"/>
      <c r="C172" s="552"/>
      <c r="D172" s="552"/>
      <c r="E172" s="552"/>
      <c r="F172" s="30">
        <f t="shared" si="161"/>
        <v>0</v>
      </c>
      <c r="G172" s="530"/>
      <c r="H172" s="893"/>
      <c r="I172" s="919"/>
      <c r="J172" s="867"/>
      <c r="K172" s="816"/>
      <c r="L172" s="945"/>
      <c r="M172" s="552"/>
      <c r="N172" s="552"/>
      <c r="O172" s="552"/>
      <c r="P172" s="552"/>
      <c r="Q172" s="552"/>
      <c r="R172" s="552"/>
      <c r="S172" s="552"/>
      <c r="T172" s="552"/>
      <c r="U172" s="30">
        <f t="shared" si="162"/>
        <v>0</v>
      </c>
      <c r="V172" s="11" t="s">
        <v>136</v>
      </c>
      <c r="W172" s="530"/>
      <c r="X172" s="1474"/>
      <c r="Y172" s="971"/>
      <c r="Z172" s="997"/>
      <c r="AA172" s="1366"/>
      <c r="AB172" s="790"/>
      <c r="AC172" s="790"/>
      <c r="AD172" s="1418"/>
      <c r="AE172" s="1418"/>
      <c r="AF172" s="1392"/>
      <c r="AG172" s="1392"/>
      <c r="AH172" s="760"/>
      <c r="AI172" s="760"/>
      <c r="AJ172" s="11" t="s">
        <v>136</v>
      </c>
      <c r="AK172" s="530"/>
      <c r="AL172" s="530"/>
      <c r="AM172" s="1444"/>
      <c r="AN172" s="1444"/>
      <c r="AO172" s="734"/>
      <c r="AP172" s="734"/>
      <c r="AQ172" s="734"/>
      <c r="AR172" s="734"/>
      <c r="AS172" s="685"/>
      <c r="AT172" s="636"/>
      <c r="AU172" s="708"/>
      <c r="AV172" s="1019">
        <f t="shared" si="160"/>
        <v>0</v>
      </c>
      <c r="AW172" s="654"/>
    </row>
    <row r="173" spans="1:49" ht="15.75">
      <c r="A173" s="11" t="s">
        <v>137</v>
      </c>
      <c r="B173" s="552"/>
      <c r="C173" s="552"/>
      <c r="D173" s="552"/>
      <c r="E173" s="552">
        <f>E169*27%</f>
        <v>12960</v>
      </c>
      <c r="F173" s="30">
        <f t="shared" si="161"/>
        <v>12960</v>
      </c>
      <c r="G173" s="530"/>
      <c r="H173" s="893"/>
      <c r="I173" s="919">
        <f>9300000*27%+(I169+I170)*27%</f>
        <v>2621160</v>
      </c>
      <c r="J173" s="867"/>
      <c r="K173" s="816"/>
      <c r="L173" s="945"/>
      <c r="M173" s="552"/>
      <c r="N173" s="552"/>
      <c r="O173" s="552"/>
      <c r="P173" s="552"/>
      <c r="Q173" s="552"/>
      <c r="R173" s="552"/>
      <c r="S173" s="552"/>
      <c r="T173" s="552"/>
      <c r="U173" s="30">
        <f t="shared" si="162"/>
        <v>0</v>
      </c>
      <c r="V173" s="11" t="s">
        <v>137</v>
      </c>
      <c r="W173" s="530"/>
      <c r="X173" s="1474"/>
      <c r="Y173" s="971"/>
      <c r="Z173" s="997">
        <f>Z169*27%</f>
        <v>3240</v>
      </c>
      <c r="AA173" s="1366">
        <f>AA168*27%</f>
        <v>97372.800000000003</v>
      </c>
      <c r="AB173" s="790">
        <f>AB169*27%</f>
        <v>9720</v>
      </c>
      <c r="AC173" s="790"/>
      <c r="AD173" s="1418"/>
      <c r="AE173" s="1418"/>
      <c r="AF173" s="1392"/>
      <c r="AG173" s="1392">
        <f>AG169*27%</f>
        <v>3240</v>
      </c>
      <c r="AH173" s="760"/>
      <c r="AI173" s="760"/>
      <c r="AJ173" s="11" t="s">
        <v>137</v>
      </c>
      <c r="AK173" s="530"/>
      <c r="AL173" s="530"/>
      <c r="AM173" s="1444"/>
      <c r="AN173" s="1444"/>
      <c r="AO173" s="734"/>
      <c r="AP173" s="734"/>
      <c r="AQ173" s="734">
        <f>AQ169*27%</f>
        <v>3240</v>
      </c>
      <c r="AR173" s="734"/>
      <c r="AS173" s="685"/>
      <c r="AT173" s="636"/>
      <c r="AU173" s="708"/>
      <c r="AV173" s="1019">
        <f t="shared" si="160"/>
        <v>2750932.8</v>
      </c>
      <c r="AW173" s="654"/>
    </row>
    <row r="174" spans="1:49" ht="15.75">
      <c r="A174" s="11" t="s">
        <v>138</v>
      </c>
      <c r="B174" s="552"/>
      <c r="C174" s="552"/>
      <c r="D174" s="552"/>
      <c r="E174" s="552"/>
      <c r="F174" s="30">
        <f t="shared" si="161"/>
        <v>0</v>
      </c>
      <c r="G174" s="530"/>
      <c r="H174" s="893"/>
      <c r="I174" s="919"/>
      <c r="J174" s="867"/>
      <c r="K174" s="816"/>
      <c r="L174" s="945"/>
      <c r="M174" s="552"/>
      <c r="N174" s="552"/>
      <c r="O174" s="552"/>
      <c r="P174" s="552"/>
      <c r="Q174" s="552"/>
      <c r="R174" s="552"/>
      <c r="S174" s="552"/>
      <c r="T174" s="552"/>
      <c r="U174" s="30">
        <f t="shared" si="162"/>
        <v>0</v>
      </c>
      <c r="V174" s="11" t="s">
        <v>138</v>
      </c>
      <c r="W174" s="530"/>
      <c r="X174" s="1474"/>
      <c r="Y174" s="971"/>
      <c r="Z174" s="997"/>
      <c r="AA174" s="1366"/>
      <c r="AB174" s="790"/>
      <c r="AC174" s="790"/>
      <c r="AD174" s="1418"/>
      <c r="AE174" s="1418"/>
      <c r="AF174" s="1392"/>
      <c r="AG174" s="1392"/>
      <c r="AH174" s="760"/>
      <c r="AI174" s="760"/>
      <c r="AJ174" s="11" t="s">
        <v>138</v>
      </c>
      <c r="AK174" s="530"/>
      <c r="AL174" s="530"/>
      <c r="AM174" s="1444"/>
      <c r="AN174" s="1444"/>
      <c r="AO174" s="734"/>
      <c r="AP174" s="734"/>
      <c r="AQ174" s="734"/>
      <c r="AR174" s="734"/>
      <c r="AS174" s="685"/>
      <c r="AT174" s="636"/>
      <c r="AU174" s="708"/>
      <c r="AV174" s="1019">
        <f t="shared" si="160"/>
        <v>0</v>
      </c>
      <c r="AW174" s="654"/>
    </row>
    <row r="175" spans="1:49" ht="15.75">
      <c r="A175" s="11" t="s">
        <v>139</v>
      </c>
      <c r="B175" s="552"/>
      <c r="C175" s="552"/>
      <c r="D175" s="552"/>
      <c r="E175" s="552">
        <v>100000</v>
      </c>
      <c r="F175" s="23">
        <f t="shared" si="161"/>
        <v>100000</v>
      </c>
      <c r="G175" s="530"/>
      <c r="H175" s="893"/>
      <c r="I175" s="919"/>
      <c r="J175" s="867"/>
      <c r="K175" s="816"/>
      <c r="L175" s="945"/>
      <c r="M175" s="552"/>
      <c r="N175" s="552"/>
      <c r="O175" s="552"/>
      <c r="P175" s="552"/>
      <c r="Q175" s="552"/>
      <c r="R175" s="552"/>
      <c r="S175" s="552"/>
      <c r="T175" s="552"/>
      <c r="U175" s="23">
        <f t="shared" si="162"/>
        <v>0</v>
      </c>
      <c r="V175" s="11" t="s">
        <v>139</v>
      </c>
      <c r="W175" s="530"/>
      <c r="X175" s="1474"/>
      <c r="Y175" s="971"/>
      <c r="Z175" s="997"/>
      <c r="AA175" s="1366"/>
      <c r="AB175" s="790"/>
      <c r="AC175" s="790"/>
      <c r="AD175" s="1418"/>
      <c r="AE175" s="1418"/>
      <c r="AF175" s="1392"/>
      <c r="AG175" s="1392"/>
      <c r="AH175" s="760"/>
      <c r="AI175" s="760"/>
      <c r="AJ175" s="11" t="s">
        <v>139</v>
      </c>
      <c r="AK175" s="530"/>
      <c r="AL175" s="530"/>
      <c r="AM175" s="1444"/>
      <c r="AN175" s="1444"/>
      <c r="AO175" s="734"/>
      <c r="AP175" s="734"/>
      <c r="AQ175" s="734"/>
      <c r="AR175" s="734"/>
      <c r="AS175" s="680"/>
      <c r="AT175" s="636"/>
      <c r="AU175" s="708"/>
      <c r="AV175" s="1019">
        <f t="shared" si="160"/>
        <v>100000</v>
      </c>
      <c r="AW175" s="654"/>
    </row>
    <row r="176" spans="1:49" ht="30">
      <c r="A176" s="10" t="s">
        <v>140</v>
      </c>
      <c r="B176" s="549"/>
      <c r="C176" s="549"/>
      <c r="D176" s="549"/>
      <c r="E176" s="549"/>
      <c r="F176" s="23">
        <f t="shared" si="161"/>
        <v>0</v>
      </c>
      <c r="G176" s="536"/>
      <c r="H176" s="890"/>
      <c r="I176" s="916"/>
      <c r="J176" s="864"/>
      <c r="K176" s="813"/>
      <c r="L176" s="942"/>
      <c r="M176" s="549"/>
      <c r="N176" s="549"/>
      <c r="O176" s="549"/>
      <c r="P176" s="549"/>
      <c r="Q176" s="549"/>
      <c r="R176" s="549"/>
      <c r="S176" s="549"/>
      <c r="T176" s="549"/>
      <c r="U176" s="23">
        <f t="shared" si="162"/>
        <v>0</v>
      </c>
      <c r="V176" s="10" t="s">
        <v>140</v>
      </c>
      <c r="W176" s="536"/>
      <c r="X176" s="1471"/>
      <c r="Y176" s="968"/>
      <c r="Z176" s="994"/>
      <c r="AA176" s="1363"/>
      <c r="AB176" s="787"/>
      <c r="AC176" s="787"/>
      <c r="AD176" s="1415"/>
      <c r="AE176" s="1415"/>
      <c r="AF176" s="1389"/>
      <c r="AG176" s="1389"/>
      <c r="AH176" s="757"/>
      <c r="AI176" s="757"/>
      <c r="AJ176" s="10" t="s">
        <v>140</v>
      </c>
      <c r="AK176" s="536"/>
      <c r="AL176" s="536"/>
      <c r="AM176" s="1441"/>
      <c r="AN176" s="1441"/>
      <c r="AO176" s="731"/>
      <c r="AP176" s="731"/>
      <c r="AQ176" s="731"/>
      <c r="AR176" s="731"/>
      <c r="AS176" s="680"/>
      <c r="AT176" s="27"/>
      <c r="AU176" s="705"/>
      <c r="AV176" s="1019">
        <f t="shared" si="160"/>
        <v>0</v>
      </c>
      <c r="AW176" s="654"/>
    </row>
    <row r="177" spans="1:49" ht="16.5" thickBot="1">
      <c r="A177" s="12" t="s">
        <v>141</v>
      </c>
      <c r="B177" s="583">
        <f t="shared" ref="B177:L177" si="165">B176</f>
        <v>0</v>
      </c>
      <c r="C177" s="583">
        <f>C176</f>
        <v>0</v>
      </c>
      <c r="D177" s="583">
        <f>D176</f>
        <v>0</v>
      </c>
      <c r="E177" s="583">
        <f t="shared" si="165"/>
        <v>0</v>
      </c>
      <c r="F177" s="592">
        <f t="shared" si="165"/>
        <v>0</v>
      </c>
      <c r="G177" s="593">
        <f t="shared" si="165"/>
        <v>0</v>
      </c>
      <c r="H177" s="898">
        <f t="shared" si="165"/>
        <v>0</v>
      </c>
      <c r="I177" s="924">
        <f t="shared" si="165"/>
        <v>0</v>
      </c>
      <c r="J177" s="872">
        <f t="shared" si="165"/>
        <v>0</v>
      </c>
      <c r="K177" s="821">
        <f t="shared" si="165"/>
        <v>0</v>
      </c>
      <c r="L177" s="950">
        <f t="shared" si="165"/>
        <v>0</v>
      </c>
      <c r="M177" s="583">
        <f t="shared" ref="M177:U177" si="166">M176</f>
        <v>0</v>
      </c>
      <c r="N177" s="583">
        <f t="shared" si="166"/>
        <v>0</v>
      </c>
      <c r="O177" s="583">
        <f t="shared" si="166"/>
        <v>0</v>
      </c>
      <c r="P177" s="583">
        <f t="shared" si="166"/>
        <v>0</v>
      </c>
      <c r="Q177" s="583">
        <f t="shared" si="166"/>
        <v>0</v>
      </c>
      <c r="R177" s="583">
        <f t="shared" si="166"/>
        <v>0</v>
      </c>
      <c r="S177" s="583">
        <f t="shared" si="166"/>
        <v>0</v>
      </c>
      <c r="T177" s="583">
        <f t="shared" si="166"/>
        <v>0</v>
      </c>
      <c r="U177" s="592">
        <f t="shared" si="166"/>
        <v>0</v>
      </c>
      <c r="V177" s="12" t="s">
        <v>141</v>
      </c>
      <c r="W177" s="593">
        <f>W176</f>
        <v>0</v>
      </c>
      <c r="X177" s="1479">
        <f t="shared" ref="X177:AR177" si="167">X176</f>
        <v>0</v>
      </c>
      <c r="Y177" s="976">
        <f t="shared" si="167"/>
        <v>0</v>
      </c>
      <c r="Z177" s="1002">
        <f t="shared" si="167"/>
        <v>0</v>
      </c>
      <c r="AA177" s="1371">
        <f t="shared" si="167"/>
        <v>0</v>
      </c>
      <c r="AB177" s="795">
        <f t="shared" si="167"/>
        <v>0</v>
      </c>
      <c r="AC177" s="795">
        <f t="shared" si="167"/>
        <v>0</v>
      </c>
      <c r="AD177" s="1423">
        <f t="shared" si="167"/>
        <v>0</v>
      </c>
      <c r="AE177" s="1423">
        <f t="shared" si="167"/>
        <v>0</v>
      </c>
      <c r="AF177" s="1397">
        <f>AF176</f>
        <v>0</v>
      </c>
      <c r="AG177" s="1397">
        <f>AG176</f>
        <v>0</v>
      </c>
      <c r="AH177" s="769">
        <f>AH176</f>
        <v>0</v>
      </c>
      <c r="AI177" s="769">
        <f>AI176</f>
        <v>0</v>
      </c>
      <c r="AJ177" s="12" t="s">
        <v>141</v>
      </c>
      <c r="AK177" s="593">
        <f>AK176</f>
        <v>0</v>
      </c>
      <c r="AL177" s="593">
        <f>AL176</f>
        <v>0</v>
      </c>
      <c r="AM177" s="1449">
        <f>AM176</f>
        <v>0</v>
      </c>
      <c r="AN177" s="1449">
        <f>AN176</f>
        <v>0</v>
      </c>
      <c r="AO177" s="739">
        <f t="shared" si="167"/>
        <v>0</v>
      </c>
      <c r="AP177" s="739">
        <f t="shared" si="167"/>
        <v>0</v>
      </c>
      <c r="AQ177" s="739">
        <f>AQ176</f>
        <v>0</v>
      </c>
      <c r="AR177" s="739">
        <f t="shared" si="167"/>
        <v>0</v>
      </c>
      <c r="AS177" s="686"/>
      <c r="AT177" s="639">
        <f>AT176</f>
        <v>0</v>
      </c>
      <c r="AU177" s="713">
        <f>AU176</f>
        <v>0</v>
      </c>
      <c r="AV177" s="1020">
        <f t="shared" si="160"/>
        <v>0</v>
      </c>
      <c r="AW177" s="654"/>
    </row>
    <row r="178" spans="1:49" ht="16.5" thickBot="1">
      <c r="A178" s="13" t="s">
        <v>142</v>
      </c>
      <c r="B178" s="577">
        <f>B171+B172+B173+B174+B175+B177+B169+B168</f>
        <v>0</v>
      </c>
      <c r="C178" s="577">
        <f>C171+C172+C173+C174+C175+C177+C169+C168</f>
        <v>0</v>
      </c>
      <c r="D178" s="577">
        <f>D171+D172+D173+D174+D175+D177+D169+D168</f>
        <v>0</v>
      </c>
      <c r="E178" s="577">
        <f>E171+E172+E173+E174+E175+E177+E169+E168</f>
        <v>160960</v>
      </c>
      <c r="F178" s="578">
        <f t="shared" ref="F178:L178" si="168">F171+F172+F173+F174+F175+F177+F168+F169</f>
        <v>160960</v>
      </c>
      <c r="G178" s="579">
        <f t="shared" si="168"/>
        <v>0</v>
      </c>
      <c r="H178" s="886">
        <f t="shared" si="168"/>
        <v>1465120</v>
      </c>
      <c r="I178" s="912">
        <f>I171+I172+I173+I174+I175+I177+I168+I169</f>
        <v>3029160</v>
      </c>
      <c r="J178" s="860">
        <f>J171+J172+J173+J174+J175+J177+J168+J169</f>
        <v>0</v>
      </c>
      <c r="K178" s="809">
        <f t="shared" si="168"/>
        <v>0</v>
      </c>
      <c r="L178" s="938">
        <f t="shared" si="168"/>
        <v>0</v>
      </c>
      <c r="M178" s="577">
        <f t="shared" ref="M178:T178" si="169">M171+M172+M173+M174+M175+M177+M169+M168</f>
        <v>0</v>
      </c>
      <c r="N178" s="577">
        <f t="shared" si="169"/>
        <v>0</v>
      </c>
      <c r="O178" s="577">
        <f t="shared" si="169"/>
        <v>0</v>
      </c>
      <c r="P178" s="577">
        <f t="shared" si="169"/>
        <v>0</v>
      </c>
      <c r="Q178" s="577">
        <f t="shared" si="169"/>
        <v>0</v>
      </c>
      <c r="R178" s="577">
        <f t="shared" si="169"/>
        <v>0</v>
      </c>
      <c r="S178" s="577">
        <f t="shared" si="169"/>
        <v>0</v>
      </c>
      <c r="T178" s="577">
        <f t="shared" si="169"/>
        <v>0</v>
      </c>
      <c r="U178" s="578">
        <f>U171+U172+U173+U174+U175+U177+U168+U169</f>
        <v>0</v>
      </c>
      <c r="V178" s="13" t="s">
        <v>142</v>
      </c>
      <c r="W178" s="579">
        <f>W171+W172+W173+W174+W175+W177+W168+W169</f>
        <v>0</v>
      </c>
      <c r="X178" s="1467">
        <f t="shared" ref="X178:AR178" si="170">X171+X172+X173+X174+X175+X177+X168+X169</f>
        <v>0</v>
      </c>
      <c r="Y178" s="964">
        <f t="shared" si="170"/>
        <v>0</v>
      </c>
      <c r="Z178" s="990">
        <f t="shared" si="170"/>
        <v>15240</v>
      </c>
      <c r="AA178" s="1359">
        <f t="shared" si="170"/>
        <v>458012.8</v>
      </c>
      <c r="AB178" s="783">
        <f t="shared" si="170"/>
        <v>45720</v>
      </c>
      <c r="AC178" s="783">
        <f t="shared" si="170"/>
        <v>0</v>
      </c>
      <c r="AD178" s="1411">
        <f t="shared" si="170"/>
        <v>0</v>
      </c>
      <c r="AE178" s="1411">
        <f t="shared" si="170"/>
        <v>0</v>
      </c>
      <c r="AF178" s="1385">
        <f>AF171+AF172+AF173+AF174+AF175+AF177+AF168+AF169</f>
        <v>0</v>
      </c>
      <c r="AG178" s="1385">
        <f>AG171+AG172+AG173+AG174+AG175+AG177+AG168+AG169</f>
        <v>15240</v>
      </c>
      <c r="AH178" s="753">
        <f>AH171+AH172+AH173+AH174+AH175+AH177+AH168+AH169</f>
        <v>0</v>
      </c>
      <c r="AI178" s="753">
        <f>AI171+AI172+AI173+AI174+AI175+AI177+AI168+AI169</f>
        <v>0</v>
      </c>
      <c r="AJ178" s="13" t="s">
        <v>142</v>
      </c>
      <c r="AK178" s="579">
        <f>AK171+AK172+AK173+AK174+AK175+AK177+AK168+AK169</f>
        <v>0</v>
      </c>
      <c r="AL178" s="579">
        <f>AL171+AL172+AL173+AL174+AL175+AL177+AL168+AL169</f>
        <v>0</v>
      </c>
      <c r="AM178" s="1437">
        <f>AM171+AM172+AM173+AM174+AM175+AM177+AM168+AM169</f>
        <v>0</v>
      </c>
      <c r="AN178" s="1437">
        <f>AN171+AN172+AN173+AN174+AN175+AN177+AN168+AN169</f>
        <v>0</v>
      </c>
      <c r="AO178" s="727">
        <f t="shared" si="170"/>
        <v>0</v>
      </c>
      <c r="AP178" s="727">
        <f t="shared" si="170"/>
        <v>0</v>
      </c>
      <c r="AQ178" s="727">
        <f>AQ171+AQ172+AQ173+AQ174+AQ175+AQ177+AQ168+AQ169</f>
        <v>15240</v>
      </c>
      <c r="AR178" s="727">
        <f t="shared" si="170"/>
        <v>0</v>
      </c>
      <c r="AS178" s="676"/>
      <c r="AT178" s="633">
        <f>AT171+AT172+AT173+AT174+AT175+AT177+AT168+AT169</f>
        <v>0</v>
      </c>
      <c r="AU178" s="701">
        <f>AU171+AU172+AU173+AU174+AU175+AU177+AU168+AU169</f>
        <v>0</v>
      </c>
      <c r="AV178" s="1518">
        <f t="shared" si="160"/>
        <v>5204692.8</v>
      </c>
      <c r="AW178" s="654"/>
    </row>
    <row r="179" spans="1:49" ht="76.5" customHeight="1">
      <c r="A179" s="1733" t="s">
        <v>673</v>
      </c>
      <c r="B179" s="1724" t="s">
        <v>158</v>
      </c>
      <c r="C179" s="1725"/>
      <c r="D179" s="1725"/>
      <c r="E179" s="1725"/>
      <c r="F179" s="1726"/>
      <c r="G179" s="1703" t="s">
        <v>618</v>
      </c>
      <c r="H179" s="1734" t="s">
        <v>726</v>
      </c>
      <c r="I179" s="1736" t="s">
        <v>727</v>
      </c>
      <c r="J179" s="1738" t="s">
        <v>637</v>
      </c>
      <c r="K179" s="1744" t="s">
        <v>616</v>
      </c>
      <c r="L179" s="1746" t="s">
        <v>617</v>
      </c>
      <c r="M179" s="1724" t="s">
        <v>656</v>
      </c>
      <c r="N179" s="1725"/>
      <c r="O179" s="1725"/>
      <c r="P179" s="1725"/>
      <c r="Q179" s="1725"/>
      <c r="R179" s="1725"/>
      <c r="S179" s="1725"/>
      <c r="T179" s="1725"/>
      <c r="U179" s="1726"/>
      <c r="V179" s="1733" t="s">
        <v>673</v>
      </c>
      <c r="W179" s="1703" t="s">
        <v>707</v>
      </c>
      <c r="X179" s="1740" t="s">
        <v>754</v>
      </c>
      <c r="Y179" s="1742" t="s">
        <v>619</v>
      </c>
      <c r="Z179" s="1705" t="s">
        <v>721</v>
      </c>
      <c r="AA179" s="1707" t="s">
        <v>723</v>
      </c>
      <c r="AB179" s="1729" t="s">
        <v>719</v>
      </c>
      <c r="AC179" s="1729" t="s">
        <v>622</v>
      </c>
      <c r="AD179" s="1731" t="s">
        <v>620</v>
      </c>
      <c r="AE179" s="1731" t="s">
        <v>621</v>
      </c>
      <c r="AF179" s="1709" t="s">
        <v>711</v>
      </c>
      <c r="AG179" s="1709" t="s">
        <v>712</v>
      </c>
      <c r="AH179" s="1722" t="s">
        <v>708</v>
      </c>
      <c r="AI179" s="1722" t="s">
        <v>615</v>
      </c>
      <c r="AJ179" s="1733" t="s">
        <v>673</v>
      </c>
      <c r="AK179" s="1703" t="s">
        <v>623</v>
      </c>
      <c r="AL179" s="1703" t="s">
        <v>728</v>
      </c>
      <c r="AM179" s="1701" t="s">
        <v>729</v>
      </c>
      <c r="AN179" s="1701" t="s">
        <v>730</v>
      </c>
      <c r="AO179" s="1720" t="s">
        <v>624</v>
      </c>
      <c r="AP179" s="1720" t="s">
        <v>639</v>
      </c>
      <c r="AQ179" s="1720" t="s">
        <v>720</v>
      </c>
      <c r="AR179" s="1720" t="s">
        <v>625</v>
      </c>
      <c r="AS179" s="1749" t="s">
        <v>614</v>
      </c>
      <c r="AT179" s="1750"/>
      <c r="AU179" s="1727" t="s">
        <v>626</v>
      </c>
      <c r="AV179" s="1748" t="s">
        <v>12</v>
      </c>
    </row>
    <row r="180" spans="1:49" ht="60.75" thickBot="1">
      <c r="A180" s="1715"/>
      <c r="B180" s="613" t="s">
        <v>716</v>
      </c>
      <c r="C180" s="613" t="s">
        <v>718</v>
      </c>
      <c r="D180" s="613" t="s">
        <v>724</v>
      </c>
      <c r="E180" s="613" t="s">
        <v>177</v>
      </c>
      <c r="F180" s="614" t="s">
        <v>12</v>
      </c>
      <c r="G180" s="1704"/>
      <c r="H180" s="1735"/>
      <c r="I180" s="1737"/>
      <c r="J180" s="1739"/>
      <c r="K180" s="1745"/>
      <c r="L180" s="1747"/>
      <c r="M180" s="613" t="s">
        <v>709</v>
      </c>
      <c r="N180" s="613" t="s">
        <v>713</v>
      </c>
      <c r="O180" s="613" t="s">
        <v>714</v>
      </c>
      <c r="P180" s="613" t="s">
        <v>715</v>
      </c>
      <c r="Q180" s="613" t="s">
        <v>717</v>
      </c>
      <c r="R180" s="613" t="s">
        <v>722</v>
      </c>
      <c r="S180" s="613" t="s">
        <v>725</v>
      </c>
      <c r="T180" s="613" t="s">
        <v>177</v>
      </c>
      <c r="U180" s="614" t="s">
        <v>12</v>
      </c>
      <c r="V180" s="1715"/>
      <c r="W180" s="1704"/>
      <c r="X180" s="1741"/>
      <c r="Y180" s="1743"/>
      <c r="Z180" s="1706"/>
      <c r="AA180" s="1708"/>
      <c r="AB180" s="1730"/>
      <c r="AC180" s="1730"/>
      <c r="AD180" s="1732"/>
      <c r="AE180" s="1732"/>
      <c r="AF180" s="1710"/>
      <c r="AG180" s="1710"/>
      <c r="AH180" s="1723"/>
      <c r="AI180" s="1723"/>
      <c r="AJ180" s="1715"/>
      <c r="AK180" s="1704"/>
      <c r="AL180" s="1704"/>
      <c r="AM180" s="1702"/>
      <c r="AN180" s="1702"/>
      <c r="AO180" s="1721"/>
      <c r="AP180" s="1721"/>
      <c r="AQ180" s="1721"/>
      <c r="AR180" s="1721"/>
      <c r="AS180" s="662" t="s">
        <v>608</v>
      </c>
      <c r="AT180" s="625" t="s">
        <v>12</v>
      </c>
      <c r="AU180" s="1728"/>
      <c r="AV180" s="1719"/>
      <c r="AW180" s="652"/>
    </row>
    <row r="181" spans="1:49" ht="15.75">
      <c r="A181" s="584" t="s">
        <v>143</v>
      </c>
      <c r="B181" s="585"/>
      <c r="C181" s="585"/>
      <c r="D181" s="585"/>
      <c r="E181" s="585"/>
      <c r="F181" s="24">
        <f>SUM(B181:E181)</f>
        <v>0</v>
      </c>
      <c r="G181" s="534"/>
      <c r="H181" s="895"/>
      <c r="I181" s="921">
        <f>3900000+3500000+1900000</f>
        <v>9300000</v>
      </c>
      <c r="J181" s="869"/>
      <c r="K181" s="818"/>
      <c r="L181" s="947"/>
      <c r="M181" s="585"/>
      <c r="N181" s="585"/>
      <c r="O181" s="585"/>
      <c r="P181" s="585"/>
      <c r="Q181" s="585"/>
      <c r="R181" s="585"/>
      <c r="S181" s="585"/>
      <c r="T181" s="585"/>
      <c r="U181" s="24">
        <f>SUM(M181:T181)</f>
        <v>0</v>
      </c>
      <c r="V181" s="584" t="s">
        <v>143</v>
      </c>
      <c r="W181" s="534"/>
      <c r="X181" s="1476"/>
      <c r="Y181" s="973"/>
      <c r="Z181" s="999"/>
      <c r="AA181" s="1368"/>
      <c r="AB181" s="792"/>
      <c r="AC181" s="792"/>
      <c r="AD181" s="1420"/>
      <c r="AE181" s="1420"/>
      <c r="AF181" s="1394"/>
      <c r="AG181" s="1394"/>
      <c r="AH181" s="762"/>
      <c r="AI181" s="762"/>
      <c r="AJ181" s="584" t="s">
        <v>143</v>
      </c>
      <c r="AK181" s="534"/>
      <c r="AL181" s="534"/>
      <c r="AM181" s="1446"/>
      <c r="AN181" s="1446"/>
      <c r="AO181" s="736"/>
      <c r="AP181" s="736"/>
      <c r="AQ181" s="736"/>
      <c r="AR181" s="736"/>
      <c r="AS181" s="678"/>
      <c r="AT181" s="640"/>
      <c r="AU181" s="710"/>
      <c r="AV181" s="25">
        <f t="shared" si="160"/>
        <v>9300000</v>
      </c>
      <c r="AW181" s="654"/>
    </row>
    <row r="182" spans="1:49" ht="16.5" thickBot="1">
      <c r="A182" s="12" t="s">
        <v>144</v>
      </c>
      <c r="B182" s="583"/>
      <c r="C182" s="583"/>
      <c r="D182" s="583"/>
      <c r="E182" s="583"/>
      <c r="F182" s="557">
        <f>SUM(B182:E182)</f>
        <v>0</v>
      </c>
      <c r="G182" s="559"/>
      <c r="H182" s="894"/>
      <c r="I182" s="920"/>
      <c r="J182" s="868"/>
      <c r="K182" s="817"/>
      <c r="L182" s="946"/>
      <c r="M182" s="583"/>
      <c r="N182" s="583"/>
      <c r="O182" s="583"/>
      <c r="P182" s="583"/>
      <c r="Q182" s="583"/>
      <c r="R182" s="583"/>
      <c r="S182" s="583"/>
      <c r="T182" s="583"/>
      <c r="U182" s="557">
        <f>SUM(M182:T182)</f>
        <v>0</v>
      </c>
      <c r="V182" s="12" t="s">
        <v>144</v>
      </c>
      <c r="W182" s="559"/>
      <c r="X182" s="1475"/>
      <c r="Y182" s="972"/>
      <c r="Z182" s="998"/>
      <c r="AA182" s="1367"/>
      <c r="AB182" s="791"/>
      <c r="AC182" s="791"/>
      <c r="AD182" s="1419"/>
      <c r="AE182" s="1419"/>
      <c r="AF182" s="1393"/>
      <c r="AG182" s="1393"/>
      <c r="AH182" s="761"/>
      <c r="AI182" s="761"/>
      <c r="AJ182" s="12" t="s">
        <v>144</v>
      </c>
      <c r="AK182" s="559"/>
      <c r="AL182" s="559"/>
      <c r="AM182" s="1445"/>
      <c r="AN182" s="1445"/>
      <c r="AO182" s="735"/>
      <c r="AP182" s="735"/>
      <c r="AQ182" s="735"/>
      <c r="AR182" s="735"/>
      <c r="AS182" s="683"/>
      <c r="AT182" s="639"/>
      <c r="AU182" s="709"/>
      <c r="AV182" s="1020">
        <f t="shared" si="160"/>
        <v>0</v>
      </c>
      <c r="AW182" s="654"/>
    </row>
    <row r="183" spans="1:49" ht="16.5" thickBot="1">
      <c r="A183" s="13" t="s">
        <v>145</v>
      </c>
      <c r="B183" s="577">
        <f t="shared" ref="B183:L183" si="171">SUM(B181:B182)</f>
        <v>0</v>
      </c>
      <c r="C183" s="577">
        <f>SUM(C181:C182)</f>
        <v>0</v>
      </c>
      <c r="D183" s="577">
        <f>SUM(D181:D182)</f>
        <v>0</v>
      </c>
      <c r="E183" s="577">
        <f t="shared" si="171"/>
        <v>0</v>
      </c>
      <c r="F183" s="578">
        <f t="shared" si="171"/>
        <v>0</v>
      </c>
      <c r="G183" s="579">
        <f t="shared" si="171"/>
        <v>0</v>
      </c>
      <c r="H183" s="886">
        <f t="shared" si="171"/>
        <v>0</v>
      </c>
      <c r="I183" s="912">
        <f t="shared" si="171"/>
        <v>9300000</v>
      </c>
      <c r="J183" s="860">
        <f t="shared" si="171"/>
        <v>0</v>
      </c>
      <c r="K183" s="809">
        <f t="shared" si="171"/>
        <v>0</v>
      </c>
      <c r="L183" s="938">
        <f t="shared" si="171"/>
        <v>0</v>
      </c>
      <c r="M183" s="577">
        <f t="shared" ref="M183:U183" si="172">SUM(M181:M182)</f>
        <v>0</v>
      </c>
      <c r="N183" s="577">
        <f t="shared" si="172"/>
        <v>0</v>
      </c>
      <c r="O183" s="577">
        <f t="shared" si="172"/>
        <v>0</v>
      </c>
      <c r="P183" s="577">
        <f t="shared" si="172"/>
        <v>0</v>
      </c>
      <c r="Q183" s="577">
        <f t="shared" si="172"/>
        <v>0</v>
      </c>
      <c r="R183" s="577">
        <f t="shared" si="172"/>
        <v>0</v>
      </c>
      <c r="S183" s="577">
        <f t="shared" si="172"/>
        <v>0</v>
      </c>
      <c r="T183" s="577">
        <f t="shared" si="172"/>
        <v>0</v>
      </c>
      <c r="U183" s="578">
        <f t="shared" si="172"/>
        <v>0</v>
      </c>
      <c r="V183" s="13" t="s">
        <v>145</v>
      </c>
      <c r="W183" s="579">
        <f>SUM(W181:W182)</f>
        <v>0</v>
      </c>
      <c r="X183" s="1467">
        <f t="shared" ref="X183:AR183" si="173">SUM(X181:X182)</f>
        <v>0</v>
      </c>
      <c r="Y183" s="964">
        <f t="shared" si="173"/>
        <v>0</v>
      </c>
      <c r="Z183" s="990">
        <f t="shared" si="173"/>
        <v>0</v>
      </c>
      <c r="AA183" s="1359">
        <f t="shared" si="173"/>
        <v>0</v>
      </c>
      <c r="AB183" s="783">
        <f t="shared" si="173"/>
        <v>0</v>
      </c>
      <c r="AC183" s="783">
        <f t="shared" si="173"/>
        <v>0</v>
      </c>
      <c r="AD183" s="1411">
        <f t="shared" si="173"/>
        <v>0</v>
      </c>
      <c r="AE183" s="1411">
        <f t="shared" si="173"/>
        <v>0</v>
      </c>
      <c r="AF183" s="1385">
        <f>SUM(AF181:AF182)</f>
        <v>0</v>
      </c>
      <c r="AG183" s="1385">
        <f>SUM(AG181:AG182)</f>
        <v>0</v>
      </c>
      <c r="AH183" s="753">
        <f>SUM(AH181:AH182)</f>
        <v>0</v>
      </c>
      <c r="AI183" s="753">
        <f>SUM(AI181:AI182)</f>
        <v>0</v>
      </c>
      <c r="AJ183" s="13" t="s">
        <v>145</v>
      </c>
      <c r="AK183" s="579">
        <f>SUM(AK181:AK182)</f>
        <v>0</v>
      </c>
      <c r="AL183" s="579">
        <f>SUM(AL181:AL182)</f>
        <v>0</v>
      </c>
      <c r="AM183" s="1437">
        <f>SUM(AM181:AM182)</f>
        <v>0</v>
      </c>
      <c r="AN183" s="1437">
        <f>SUM(AN181:AN182)</f>
        <v>0</v>
      </c>
      <c r="AO183" s="727">
        <f t="shared" si="173"/>
        <v>0</v>
      </c>
      <c r="AP183" s="727">
        <f t="shared" si="173"/>
        <v>0</v>
      </c>
      <c r="AQ183" s="727">
        <f>SUM(AQ181:AQ182)</f>
        <v>0</v>
      </c>
      <c r="AR183" s="727">
        <f t="shared" si="173"/>
        <v>0</v>
      </c>
      <c r="AS183" s="676"/>
      <c r="AT183" s="633">
        <f>SUM(AT181:AT182)</f>
        <v>0</v>
      </c>
      <c r="AU183" s="701">
        <f>SUM(AU181:AU182)</f>
        <v>0</v>
      </c>
      <c r="AV183" s="1518">
        <f t="shared" si="160"/>
        <v>9300000</v>
      </c>
      <c r="AW183" s="654"/>
    </row>
    <row r="184" spans="1:49" ht="30.75" thickBot="1">
      <c r="A184" s="594" t="s">
        <v>146</v>
      </c>
      <c r="B184" s="618"/>
      <c r="C184" s="618"/>
      <c r="D184" s="618"/>
      <c r="E184" s="618"/>
      <c r="F184" s="564">
        <f>SUM(B184:E184)</f>
        <v>0</v>
      </c>
      <c r="G184" s="595"/>
      <c r="H184" s="899"/>
      <c r="I184" s="925"/>
      <c r="J184" s="873"/>
      <c r="K184" s="822"/>
      <c r="L184" s="951"/>
      <c r="M184" s="618"/>
      <c r="N184" s="618"/>
      <c r="O184" s="618"/>
      <c r="P184" s="618"/>
      <c r="Q184" s="618"/>
      <c r="R184" s="618"/>
      <c r="S184" s="618"/>
      <c r="T184" s="618"/>
      <c r="U184" s="564">
        <f>SUM(M184:T184)</f>
        <v>0</v>
      </c>
      <c r="V184" s="594" t="s">
        <v>146</v>
      </c>
      <c r="W184" s="595"/>
      <c r="X184" s="1480"/>
      <c r="Y184" s="977"/>
      <c r="Z184" s="1003"/>
      <c r="AA184" s="1372">
        <v>300000</v>
      </c>
      <c r="AB184" s="796"/>
      <c r="AC184" s="796"/>
      <c r="AD184" s="1424"/>
      <c r="AE184" s="1424"/>
      <c r="AF184" s="1398"/>
      <c r="AG184" s="1398"/>
      <c r="AH184" s="770"/>
      <c r="AI184" s="770"/>
      <c r="AJ184" s="594" t="s">
        <v>146</v>
      </c>
      <c r="AK184" s="595"/>
      <c r="AL184" s="595"/>
      <c r="AM184" s="1450"/>
      <c r="AN184" s="1450"/>
      <c r="AO184" s="740"/>
      <c r="AP184" s="740"/>
      <c r="AQ184" s="740"/>
      <c r="AR184" s="740"/>
      <c r="AS184" s="687"/>
      <c r="AT184" s="646"/>
      <c r="AU184" s="714"/>
      <c r="AV184" s="25">
        <f t="shared" si="160"/>
        <v>300000</v>
      </c>
      <c r="AW184" s="654"/>
    </row>
    <row r="185" spans="1:49" ht="16.5" thickBot="1">
      <c r="A185" s="13" t="s">
        <v>147</v>
      </c>
      <c r="B185" s="577">
        <f t="shared" ref="B185:L185" si="174">B184</f>
        <v>0</v>
      </c>
      <c r="C185" s="577">
        <f>C184</f>
        <v>0</v>
      </c>
      <c r="D185" s="577">
        <f>D184</f>
        <v>0</v>
      </c>
      <c r="E185" s="577">
        <f t="shared" si="174"/>
        <v>0</v>
      </c>
      <c r="F185" s="578">
        <f t="shared" si="174"/>
        <v>0</v>
      </c>
      <c r="G185" s="579">
        <f t="shared" si="174"/>
        <v>0</v>
      </c>
      <c r="H185" s="886">
        <f t="shared" si="174"/>
        <v>0</v>
      </c>
      <c r="I185" s="912">
        <f t="shared" si="174"/>
        <v>0</v>
      </c>
      <c r="J185" s="860">
        <f t="shared" si="174"/>
        <v>0</v>
      </c>
      <c r="K185" s="809">
        <f t="shared" si="174"/>
        <v>0</v>
      </c>
      <c r="L185" s="938">
        <f t="shared" si="174"/>
        <v>0</v>
      </c>
      <c r="M185" s="577">
        <f t="shared" ref="M185:U185" si="175">M184</f>
        <v>0</v>
      </c>
      <c r="N185" s="577">
        <f t="shared" si="175"/>
        <v>0</v>
      </c>
      <c r="O185" s="577">
        <f t="shared" si="175"/>
        <v>0</v>
      </c>
      <c r="P185" s="577">
        <f t="shared" si="175"/>
        <v>0</v>
      </c>
      <c r="Q185" s="577">
        <f t="shared" si="175"/>
        <v>0</v>
      </c>
      <c r="R185" s="577">
        <f t="shared" si="175"/>
        <v>0</v>
      </c>
      <c r="S185" s="577">
        <f t="shared" si="175"/>
        <v>0</v>
      </c>
      <c r="T185" s="577">
        <f t="shared" si="175"/>
        <v>0</v>
      </c>
      <c r="U185" s="578">
        <f t="shared" si="175"/>
        <v>0</v>
      </c>
      <c r="V185" s="13" t="s">
        <v>147</v>
      </c>
      <c r="W185" s="579">
        <f>W184</f>
        <v>0</v>
      </c>
      <c r="X185" s="1467">
        <f t="shared" ref="X185:AR185" si="176">X184</f>
        <v>0</v>
      </c>
      <c r="Y185" s="964">
        <f t="shared" si="176"/>
        <v>0</v>
      </c>
      <c r="Z185" s="990">
        <f t="shared" si="176"/>
        <v>0</v>
      </c>
      <c r="AA185" s="1359">
        <f t="shared" si="176"/>
        <v>300000</v>
      </c>
      <c r="AB185" s="783">
        <f t="shared" si="176"/>
        <v>0</v>
      </c>
      <c r="AC185" s="783">
        <f t="shared" si="176"/>
        <v>0</v>
      </c>
      <c r="AD185" s="1411">
        <f t="shared" si="176"/>
        <v>0</v>
      </c>
      <c r="AE185" s="1411">
        <f t="shared" si="176"/>
        <v>0</v>
      </c>
      <c r="AF185" s="1385">
        <f>AF184</f>
        <v>0</v>
      </c>
      <c r="AG185" s="1385">
        <f>AG184</f>
        <v>0</v>
      </c>
      <c r="AH185" s="753">
        <f>AH184</f>
        <v>0</v>
      </c>
      <c r="AI185" s="753">
        <f>AI184</f>
        <v>0</v>
      </c>
      <c r="AJ185" s="13" t="s">
        <v>147</v>
      </c>
      <c r="AK185" s="579">
        <f>AK184</f>
        <v>0</v>
      </c>
      <c r="AL185" s="579">
        <f>AL184</f>
        <v>0</v>
      </c>
      <c r="AM185" s="1437">
        <f>AM184</f>
        <v>0</v>
      </c>
      <c r="AN185" s="1437">
        <f>AN184</f>
        <v>0</v>
      </c>
      <c r="AO185" s="727">
        <f t="shared" si="176"/>
        <v>0</v>
      </c>
      <c r="AP185" s="727">
        <f t="shared" si="176"/>
        <v>0</v>
      </c>
      <c r="AQ185" s="727">
        <f>AQ184</f>
        <v>0</v>
      </c>
      <c r="AR185" s="727">
        <f t="shared" si="176"/>
        <v>0</v>
      </c>
      <c r="AS185" s="676"/>
      <c r="AT185" s="633">
        <f>AT184</f>
        <v>0</v>
      </c>
      <c r="AU185" s="701">
        <f>AU184</f>
        <v>0</v>
      </c>
      <c r="AV185" s="1518">
        <f t="shared" si="160"/>
        <v>300000</v>
      </c>
      <c r="AW185" s="654"/>
    </row>
    <row r="186" spans="1:49" ht="30.75" thickBot="1">
      <c r="A186" s="594" t="s">
        <v>175</v>
      </c>
      <c r="B186" s="618"/>
      <c r="C186" s="618"/>
      <c r="D186" s="618"/>
      <c r="E186" s="618"/>
      <c r="F186" s="564"/>
      <c r="G186" s="595"/>
      <c r="H186" s="899"/>
      <c r="I186" s="925"/>
      <c r="J186" s="873"/>
      <c r="K186" s="822"/>
      <c r="L186" s="951"/>
      <c r="M186" s="618"/>
      <c r="N186" s="618"/>
      <c r="O186" s="618"/>
      <c r="P186" s="618"/>
      <c r="Q186" s="618"/>
      <c r="R186" s="618"/>
      <c r="S186" s="618"/>
      <c r="T186" s="618"/>
      <c r="U186" s="564"/>
      <c r="V186" s="594" t="s">
        <v>175</v>
      </c>
      <c r="W186" s="595"/>
      <c r="X186" s="1480"/>
      <c r="Y186" s="977"/>
      <c r="Z186" s="1003"/>
      <c r="AA186" s="1372"/>
      <c r="AB186" s="796"/>
      <c r="AC186" s="796"/>
      <c r="AD186" s="1424"/>
      <c r="AE186" s="1424"/>
      <c r="AF186" s="1398"/>
      <c r="AG186" s="1398"/>
      <c r="AH186" s="770"/>
      <c r="AI186" s="770"/>
      <c r="AJ186" s="594" t="s">
        <v>175</v>
      </c>
      <c r="AK186" s="595"/>
      <c r="AL186" s="595"/>
      <c r="AM186" s="1450"/>
      <c r="AN186" s="1450"/>
      <c r="AO186" s="740"/>
      <c r="AP186" s="740"/>
      <c r="AQ186" s="740"/>
      <c r="AR186" s="740"/>
      <c r="AS186" s="687"/>
      <c r="AT186" s="646"/>
      <c r="AU186" s="714"/>
      <c r="AV186" s="25">
        <f t="shared" si="160"/>
        <v>0</v>
      </c>
      <c r="AW186" s="654"/>
    </row>
    <row r="187" spans="1:49" ht="32.25" thickBot="1">
      <c r="A187" s="13" t="s">
        <v>148</v>
      </c>
      <c r="B187" s="577">
        <f t="shared" ref="B187:L187" si="177">B186</f>
        <v>0</v>
      </c>
      <c r="C187" s="577">
        <f>C186</f>
        <v>0</v>
      </c>
      <c r="D187" s="577">
        <f>D186</f>
        <v>0</v>
      </c>
      <c r="E187" s="577">
        <f t="shared" si="177"/>
        <v>0</v>
      </c>
      <c r="F187" s="578">
        <f t="shared" si="177"/>
        <v>0</v>
      </c>
      <c r="G187" s="579">
        <f t="shared" si="177"/>
        <v>0</v>
      </c>
      <c r="H187" s="886">
        <f t="shared" si="177"/>
        <v>0</v>
      </c>
      <c r="I187" s="912">
        <f t="shared" si="177"/>
        <v>0</v>
      </c>
      <c r="J187" s="860">
        <f t="shared" si="177"/>
        <v>0</v>
      </c>
      <c r="K187" s="809">
        <f t="shared" si="177"/>
        <v>0</v>
      </c>
      <c r="L187" s="938">
        <f t="shared" si="177"/>
        <v>0</v>
      </c>
      <c r="M187" s="577">
        <f t="shared" ref="M187:U187" si="178">M186</f>
        <v>0</v>
      </c>
      <c r="N187" s="577">
        <f t="shared" si="178"/>
        <v>0</v>
      </c>
      <c r="O187" s="577">
        <f t="shared" si="178"/>
        <v>0</v>
      </c>
      <c r="P187" s="577">
        <f t="shared" si="178"/>
        <v>0</v>
      </c>
      <c r="Q187" s="577">
        <f t="shared" si="178"/>
        <v>0</v>
      </c>
      <c r="R187" s="577">
        <f t="shared" si="178"/>
        <v>0</v>
      </c>
      <c r="S187" s="577">
        <f t="shared" si="178"/>
        <v>0</v>
      </c>
      <c r="T187" s="577">
        <f t="shared" si="178"/>
        <v>0</v>
      </c>
      <c r="U187" s="578">
        <f t="shared" si="178"/>
        <v>0</v>
      </c>
      <c r="V187" s="13" t="s">
        <v>148</v>
      </c>
      <c r="W187" s="579">
        <f>W186</f>
        <v>0</v>
      </c>
      <c r="X187" s="1467">
        <f t="shared" ref="X187:AR187" si="179">X186</f>
        <v>0</v>
      </c>
      <c r="Y187" s="964">
        <f t="shared" si="179"/>
        <v>0</v>
      </c>
      <c r="Z187" s="990">
        <f t="shared" si="179"/>
        <v>0</v>
      </c>
      <c r="AA187" s="1359">
        <f t="shared" si="179"/>
        <v>0</v>
      </c>
      <c r="AB187" s="783">
        <f t="shared" si="179"/>
        <v>0</v>
      </c>
      <c r="AC187" s="783">
        <f t="shared" si="179"/>
        <v>0</v>
      </c>
      <c r="AD187" s="1411">
        <f t="shared" si="179"/>
        <v>0</v>
      </c>
      <c r="AE187" s="1411">
        <f t="shared" si="179"/>
        <v>0</v>
      </c>
      <c r="AF187" s="1385">
        <f>AF186</f>
        <v>0</v>
      </c>
      <c r="AG187" s="1385">
        <f>AG186</f>
        <v>0</v>
      </c>
      <c r="AH187" s="753">
        <f>AH186</f>
        <v>0</v>
      </c>
      <c r="AI187" s="753">
        <f>AI186</f>
        <v>0</v>
      </c>
      <c r="AJ187" s="13" t="s">
        <v>148</v>
      </c>
      <c r="AK187" s="579">
        <f>AK186</f>
        <v>0</v>
      </c>
      <c r="AL187" s="579">
        <f>AL186</f>
        <v>0</v>
      </c>
      <c r="AM187" s="1437">
        <f>AM186</f>
        <v>0</v>
      </c>
      <c r="AN187" s="1437">
        <f>AN186</f>
        <v>0</v>
      </c>
      <c r="AO187" s="727">
        <f t="shared" si="179"/>
        <v>0</v>
      </c>
      <c r="AP187" s="727">
        <f t="shared" si="179"/>
        <v>0</v>
      </c>
      <c r="AQ187" s="727">
        <f>AQ186</f>
        <v>0</v>
      </c>
      <c r="AR187" s="727">
        <f t="shared" si="179"/>
        <v>0</v>
      </c>
      <c r="AS187" s="676"/>
      <c r="AT187" s="633">
        <f>AT186</f>
        <v>0</v>
      </c>
      <c r="AU187" s="701">
        <f>AU186</f>
        <v>0</v>
      </c>
      <c r="AV187" s="1518">
        <f t="shared" si="160"/>
        <v>0</v>
      </c>
      <c r="AW187" s="654"/>
    </row>
    <row r="188" spans="1:49" ht="30">
      <c r="A188" s="527" t="s">
        <v>149</v>
      </c>
      <c r="B188" s="543"/>
      <c r="C188" s="543"/>
      <c r="D188" s="543"/>
      <c r="E188" s="543"/>
      <c r="F188" s="24">
        <f>SUM(B188:E188)</f>
        <v>0</v>
      </c>
      <c r="G188" s="534"/>
      <c r="H188" s="895"/>
      <c r="I188" s="921"/>
      <c r="J188" s="869"/>
      <c r="K188" s="818"/>
      <c r="L188" s="947"/>
      <c r="M188" s="543"/>
      <c r="N188" s="543"/>
      <c r="O188" s="543"/>
      <c r="P188" s="543"/>
      <c r="Q188" s="543"/>
      <c r="R188" s="543"/>
      <c r="S188" s="543"/>
      <c r="T188" s="543"/>
      <c r="U188" s="24">
        <f>SUM(M188:T188)</f>
        <v>0</v>
      </c>
      <c r="V188" s="527" t="s">
        <v>149</v>
      </c>
      <c r="W188" s="534"/>
      <c r="X188" s="1476"/>
      <c r="Y188" s="973"/>
      <c r="Z188" s="999"/>
      <c r="AA188" s="1368"/>
      <c r="AB188" s="792"/>
      <c r="AC188" s="792"/>
      <c r="AD188" s="1420"/>
      <c r="AE188" s="1420"/>
      <c r="AF188" s="1394"/>
      <c r="AG188" s="1394"/>
      <c r="AH188" s="762"/>
      <c r="AI188" s="762"/>
      <c r="AJ188" s="527" t="s">
        <v>149</v>
      </c>
      <c r="AK188" s="534"/>
      <c r="AL188" s="534"/>
      <c r="AM188" s="1446"/>
      <c r="AN188" s="1446"/>
      <c r="AO188" s="736"/>
      <c r="AP188" s="736"/>
      <c r="AQ188" s="736"/>
      <c r="AR188" s="736"/>
      <c r="AS188" s="678"/>
      <c r="AT188" s="647"/>
      <c r="AU188" s="710"/>
      <c r="AV188" s="25">
        <f t="shared" si="160"/>
        <v>0</v>
      </c>
      <c r="AW188" s="654"/>
    </row>
    <row r="189" spans="1:49" ht="15.75">
      <c r="A189" s="10" t="s">
        <v>150</v>
      </c>
      <c r="B189" s="549">
        <f t="shared" ref="B189:L189" si="180">B188</f>
        <v>0</v>
      </c>
      <c r="C189" s="549">
        <f>C188</f>
        <v>0</v>
      </c>
      <c r="D189" s="549">
        <f>D188</f>
        <v>0</v>
      </c>
      <c r="E189" s="549">
        <f t="shared" si="180"/>
        <v>0</v>
      </c>
      <c r="F189" s="26">
        <f t="shared" si="180"/>
        <v>0</v>
      </c>
      <c r="G189" s="535">
        <f t="shared" si="180"/>
        <v>0</v>
      </c>
      <c r="H189" s="879">
        <f t="shared" si="180"/>
        <v>0</v>
      </c>
      <c r="I189" s="905">
        <f t="shared" si="180"/>
        <v>0</v>
      </c>
      <c r="J189" s="853">
        <f t="shared" si="180"/>
        <v>0</v>
      </c>
      <c r="K189" s="802">
        <f t="shared" si="180"/>
        <v>0</v>
      </c>
      <c r="L189" s="931">
        <f t="shared" si="180"/>
        <v>0</v>
      </c>
      <c r="M189" s="549">
        <f t="shared" ref="M189:U189" si="181">M188</f>
        <v>0</v>
      </c>
      <c r="N189" s="549">
        <f t="shared" si="181"/>
        <v>0</v>
      </c>
      <c r="O189" s="549">
        <f t="shared" si="181"/>
        <v>0</v>
      </c>
      <c r="P189" s="549">
        <f t="shared" si="181"/>
        <v>0</v>
      </c>
      <c r="Q189" s="549">
        <f t="shared" si="181"/>
        <v>0</v>
      </c>
      <c r="R189" s="549">
        <f t="shared" si="181"/>
        <v>0</v>
      </c>
      <c r="S189" s="549">
        <f t="shared" si="181"/>
        <v>0</v>
      </c>
      <c r="T189" s="549">
        <f t="shared" si="181"/>
        <v>0</v>
      </c>
      <c r="U189" s="26">
        <f t="shared" si="181"/>
        <v>0</v>
      </c>
      <c r="V189" s="10" t="s">
        <v>150</v>
      </c>
      <c r="W189" s="535">
        <f>W188</f>
        <v>0</v>
      </c>
      <c r="X189" s="1460">
        <f t="shared" ref="X189:AR189" si="182">X188</f>
        <v>0</v>
      </c>
      <c r="Y189" s="957">
        <f t="shared" si="182"/>
        <v>0</v>
      </c>
      <c r="Z189" s="983">
        <f t="shared" si="182"/>
        <v>0</v>
      </c>
      <c r="AA189" s="1352">
        <f t="shared" si="182"/>
        <v>0</v>
      </c>
      <c r="AB189" s="776">
        <f t="shared" si="182"/>
        <v>0</v>
      </c>
      <c r="AC189" s="776">
        <f t="shared" si="182"/>
        <v>0</v>
      </c>
      <c r="AD189" s="1404">
        <f t="shared" si="182"/>
        <v>0</v>
      </c>
      <c r="AE189" s="1404">
        <f t="shared" si="182"/>
        <v>0</v>
      </c>
      <c r="AF189" s="1378">
        <f>AF188</f>
        <v>0</v>
      </c>
      <c r="AG189" s="1378">
        <f>AG188</f>
        <v>0</v>
      </c>
      <c r="AH189" s="746">
        <f>AH188</f>
        <v>0</v>
      </c>
      <c r="AI189" s="746">
        <f>AI188</f>
        <v>0</v>
      </c>
      <c r="AJ189" s="10" t="s">
        <v>150</v>
      </c>
      <c r="AK189" s="535">
        <f>AK188</f>
        <v>0</v>
      </c>
      <c r="AL189" s="535">
        <f>AL188</f>
        <v>0</v>
      </c>
      <c r="AM189" s="1430">
        <f>AM188</f>
        <v>0</v>
      </c>
      <c r="AN189" s="1430">
        <f>AN188</f>
        <v>0</v>
      </c>
      <c r="AO189" s="720">
        <f t="shared" si="182"/>
        <v>0</v>
      </c>
      <c r="AP189" s="720">
        <f t="shared" si="182"/>
        <v>0</v>
      </c>
      <c r="AQ189" s="720">
        <f>AQ188</f>
        <v>0</v>
      </c>
      <c r="AR189" s="720">
        <f t="shared" si="182"/>
        <v>0</v>
      </c>
      <c r="AS189" s="670"/>
      <c r="AT189" s="27">
        <f>AT188</f>
        <v>0</v>
      </c>
      <c r="AU189" s="694">
        <f>AU188</f>
        <v>0</v>
      </c>
      <c r="AV189" s="1019">
        <f t="shared" si="160"/>
        <v>0</v>
      </c>
      <c r="AW189" s="654"/>
    </row>
    <row r="190" spans="1:49" ht="75">
      <c r="A190" s="2" t="s">
        <v>763</v>
      </c>
      <c r="B190" s="544"/>
      <c r="C190" s="544"/>
      <c r="D190" s="544"/>
      <c r="E190" s="544"/>
      <c r="F190" s="23">
        <f>SUM(B190:E190)</f>
        <v>0</v>
      </c>
      <c r="G190" s="530"/>
      <c r="H190" s="893"/>
      <c r="I190" s="919"/>
      <c r="J190" s="867"/>
      <c r="K190" s="816"/>
      <c r="L190" s="945">
        <v>82895435</v>
      </c>
      <c r="M190" s="544"/>
      <c r="N190" s="544"/>
      <c r="O190" s="544"/>
      <c r="P190" s="544"/>
      <c r="Q190" s="544"/>
      <c r="R190" s="544"/>
      <c r="S190" s="544"/>
      <c r="T190" s="544"/>
      <c r="U190" s="23">
        <f>SUM(M190:T190)</f>
        <v>0</v>
      </c>
      <c r="V190" s="2" t="s">
        <v>151</v>
      </c>
      <c r="W190" s="530"/>
      <c r="X190" s="1474"/>
      <c r="Y190" s="971"/>
      <c r="Z190" s="997"/>
      <c r="AA190" s="1366"/>
      <c r="AB190" s="790"/>
      <c r="AC190" s="790"/>
      <c r="AD190" s="1418"/>
      <c r="AE190" s="1418"/>
      <c r="AF190" s="1392"/>
      <c r="AG190" s="1392"/>
      <c r="AH190" s="760"/>
      <c r="AI190" s="760"/>
      <c r="AJ190" s="2" t="s">
        <v>151</v>
      </c>
      <c r="AK190" s="530"/>
      <c r="AL190" s="530"/>
      <c r="AM190" s="1444"/>
      <c r="AN190" s="1444"/>
      <c r="AO190" s="734"/>
      <c r="AP190" s="734"/>
      <c r="AQ190" s="734"/>
      <c r="AR190" s="734"/>
      <c r="AS190" s="680"/>
      <c r="AT190" s="648"/>
      <c r="AU190" s="708"/>
      <c r="AV190" s="1019">
        <f t="shared" si="160"/>
        <v>82895435</v>
      </c>
      <c r="AW190" s="654"/>
    </row>
    <row r="191" spans="1:49" ht="15.75">
      <c r="A191" s="10" t="s">
        <v>152</v>
      </c>
      <c r="B191" s="549">
        <f t="shared" ref="B191:L191" si="183">B190</f>
        <v>0</v>
      </c>
      <c r="C191" s="549">
        <f>C190</f>
        <v>0</v>
      </c>
      <c r="D191" s="549">
        <f>D190</f>
        <v>0</v>
      </c>
      <c r="E191" s="549">
        <f t="shared" si="183"/>
        <v>0</v>
      </c>
      <c r="F191" s="26">
        <f t="shared" si="183"/>
        <v>0</v>
      </c>
      <c r="G191" s="535">
        <f t="shared" si="183"/>
        <v>0</v>
      </c>
      <c r="H191" s="879">
        <f t="shared" si="183"/>
        <v>0</v>
      </c>
      <c r="I191" s="905">
        <f t="shared" si="183"/>
        <v>0</v>
      </c>
      <c r="J191" s="853">
        <f t="shared" si="183"/>
        <v>0</v>
      </c>
      <c r="K191" s="802">
        <f t="shared" si="183"/>
        <v>0</v>
      </c>
      <c r="L191" s="931">
        <f t="shared" si="183"/>
        <v>82895435</v>
      </c>
      <c r="M191" s="549">
        <f t="shared" ref="M191:U191" si="184">M190</f>
        <v>0</v>
      </c>
      <c r="N191" s="549">
        <f t="shared" si="184"/>
        <v>0</v>
      </c>
      <c r="O191" s="549">
        <f t="shared" si="184"/>
        <v>0</v>
      </c>
      <c r="P191" s="549">
        <f t="shared" si="184"/>
        <v>0</v>
      </c>
      <c r="Q191" s="549">
        <f t="shared" si="184"/>
        <v>0</v>
      </c>
      <c r="R191" s="549">
        <f t="shared" si="184"/>
        <v>0</v>
      </c>
      <c r="S191" s="549">
        <f t="shared" si="184"/>
        <v>0</v>
      </c>
      <c r="T191" s="549">
        <f t="shared" si="184"/>
        <v>0</v>
      </c>
      <c r="U191" s="26">
        <f t="shared" si="184"/>
        <v>0</v>
      </c>
      <c r="V191" s="10" t="s">
        <v>152</v>
      </c>
      <c r="W191" s="535">
        <f>W190</f>
        <v>0</v>
      </c>
      <c r="X191" s="1460">
        <f t="shared" ref="X191:AR191" si="185">X190</f>
        <v>0</v>
      </c>
      <c r="Y191" s="957">
        <f t="shared" si="185"/>
        <v>0</v>
      </c>
      <c r="Z191" s="983">
        <f t="shared" si="185"/>
        <v>0</v>
      </c>
      <c r="AA191" s="1352">
        <f t="shared" si="185"/>
        <v>0</v>
      </c>
      <c r="AB191" s="776">
        <f t="shared" si="185"/>
        <v>0</v>
      </c>
      <c r="AC191" s="776">
        <f t="shared" si="185"/>
        <v>0</v>
      </c>
      <c r="AD191" s="1404">
        <f t="shared" si="185"/>
        <v>0</v>
      </c>
      <c r="AE191" s="1404">
        <f t="shared" si="185"/>
        <v>0</v>
      </c>
      <c r="AF191" s="1378">
        <f>AF190</f>
        <v>0</v>
      </c>
      <c r="AG191" s="1378">
        <f>AG190</f>
        <v>0</v>
      </c>
      <c r="AH191" s="746">
        <f>AH190</f>
        <v>0</v>
      </c>
      <c r="AI191" s="746">
        <f>AI190</f>
        <v>0</v>
      </c>
      <c r="AJ191" s="10" t="s">
        <v>152</v>
      </c>
      <c r="AK191" s="535">
        <f>AK190</f>
        <v>0</v>
      </c>
      <c r="AL191" s="535">
        <f>AL190</f>
        <v>0</v>
      </c>
      <c r="AM191" s="1430">
        <f>AM190</f>
        <v>0</v>
      </c>
      <c r="AN191" s="1430">
        <f>AN190</f>
        <v>0</v>
      </c>
      <c r="AO191" s="720">
        <f t="shared" si="185"/>
        <v>0</v>
      </c>
      <c r="AP191" s="720">
        <f t="shared" si="185"/>
        <v>0</v>
      </c>
      <c r="AQ191" s="720">
        <f>AQ190</f>
        <v>0</v>
      </c>
      <c r="AR191" s="720">
        <f t="shared" si="185"/>
        <v>0</v>
      </c>
      <c r="AS191" s="670"/>
      <c r="AT191" s="27">
        <f>AT190</f>
        <v>0</v>
      </c>
      <c r="AU191" s="694">
        <f>AU190</f>
        <v>0</v>
      </c>
      <c r="AV191" s="1019">
        <f t="shared" si="160"/>
        <v>82895435</v>
      </c>
      <c r="AW191" s="654"/>
    </row>
    <row r="192" spans="1:49" ht="15.75">
      <c r="A192" s="10" t="s">
        <v>153</v>
      </c>
      <c r="B192" s="549"/>
      <c r="C192" s="549"/>
      <c r="D192" s="549"/>
      <c r="E192" s="549"/>
      <c r="F192" s="23">
        <f>SUM(B192:E192)</f>
        <v>0</v>
      </c>
      <c r="G192" s="536"/>
      <c r="H192" s="890"/>
      <c r="I192" s="916"/>
      <c r="J192" s="864"/>
      <c r="K192" s="813"/>
      <c r="L192" s="942"/>
      <c r="M192" s="549"/>
      <c r="N192" s="549"/>
      <c r="O192" s="549"/>
      <c r="P192" s="549"/>
      <c r="Q192" s="549"/>
      <c r="R192" s="549"/>
      <c r="S192" s="549"/>
      <c r="T192" s="549"/>
      <c r="U192" s="23">
        <f>SUM(M192:T192)</f>
        <v>0</v>
      </c>
      <c r="V192" s="10" t="s">
        <v>153</v>
      </c>
      <c r="W192" s="536"/>
      <c r="X192" s="1471"/>
      <c r="Y192" s="968"/>
      <c r="Z192" s="994"/>
      <c r="AA192" s="1363"/>
      <c r="AB192" s="787"/>
      <c r="AC192" s="787"/>
      <c r="AD192" s="1415"/>
      <c r="AE192" s="1415"/>
      <c r="AF192" s="1389"/>
      <c r="AG192" s="1389"/>
      <c r="AH192" s="757"/>
      <c r="AI192" s="757"/>
      <c r="AJ192" s="10" t="s">
        <v>153</v>
      </c>
      <c r="AK192" s="536"/>
      <c r="AL192" s="536"/>
      <c r="AM192" s="1441"/>
      <c r="AN192" s="1441"/>
      <c r="AO192" s="731"/>
      <c r="AP192" s="731"/>
      <c r="AQ192" s="731"/>
      <c r="AR192" s="731"/>
      <c r="AS192" s="680"/>
      <c r="AT192" s="27"/>
      <c r="AU192" s="705"/>
      <c r="AV192" s="1019">
        <f t="shared" si="160"/>
        <v>0</v>
      </c>
      <c r="AW192" s="654"/>
    </row>
    <row r="193" spans="1:50" ht="15.75">
      <c r="A193" s="10" t="s">
        <v>154</v>
      </c>
      <c r="B193" s="549"/>
      <c r="C193" s="549"/>
      <c r="D193" s="549"/>
      <c r="E193" s="549"/>
      <c r="F193" s="23">
        <f>SUM(B193:E193)</f>
        <v>0</v>
      </c>
      <c r="G193" s="538"/>
      <c r="H193" s="884"/>
      <c r="I193" s="910"/>
      <c r="J193" s="858"/>
      <c r="K193" s="807"/>
      <c r="L193" s="936"/>
      <c r="M193" s="549"/>
      <c r="N193" s="549"/>
      <c r="O193" s="549"/>
      <c r="P193" s="549"/>
      <c r="Q193" s="549"/>
      <c r="R193" s="549"/>
      <c r="S193" s="549"/>
      <c r="T193" s="549"/>
      <c r="U193" s="23">
        <f>SUM(M193:T193)</f>
        <v>0</v>
      </c>
      <c r="V193" s="10" t="s">
        <v>154</v>
      </c>
      <c r="W193" s="538"/>
      <c r="X193" s="1465"/>
      <c r="Y193" s="962"/>
      <c r="Z193" s="988"/>
      <c r="AA193" s="1357"/>
      <c r="AB193" s="781"/>
      <c r="AC193" s="781"/>
      <c r="AD193" s="1409"/>
      <c r="AE193" s="1409"/>
      <c r="AF193" s="1383"/>
      <c r="AG193" s="1383"/>
      <c r="AH193" s="751"/>
      <c r="AI193" s="751"/>
      <c r="AJ193" s="10" t="s">
        <v>154</v>
      </c>
      <c r="AK193" s="538"/>
      <c r="AL193" s="538"/>
      <c r="AM193" s="1435"/>
      <c r="AN193" s="1435"/>
      <c r="AO193" s="725"/>
      <c r="AP193" s="725"/>
      <c r="AQ193" s="725"/>
      <c r="AR193" s="725"/>
      <c r="AS193" s="680"/>
      <c r="AT193" s="27"/>
      <c r="AU193" s="699"/>
      <c r="AV193" s="1019">
        <f t="shared" si="160"/>
        <v>0</v>
      </c>
      <c r="AW193" s="654"/>
    </row>
    <row r="194" spans="1:50" ht="16.5" thickBot="1">
      <c r="A194" s="12" t="s">
        <v>155</v>
      </c>
      <c r="B194" s="583">
        <f t="shared" ref="B194:L194" si="186">B189+B191+B192+B193</f>
        <v>0</v>
      </c>
      <c r="C194" s="583">
        <f>C189+C191+C192+C193</f>
        <v>0</v>
      </c>
      <c r="D194" s="583">
        <f>D189+D191+D192+D193</f>
        <v>0</v>
      </c>
      <c r="E194" s="583">
        <f t="shared" si="186"/>
        <v>0</v>
      </c>
      <c r="F194" s="592">
        <f t="shared" si="186"/>
        <v>0</v>
      </c>
      <c r="G194" s="593">
        <f t="shared" si="186"/>
        <v>0</v>
      </c>
      <c r="H194" s="898">
        <f t="shared" si="186"/>
        <v>0</v>
      </c>
      <c r="I194" s="924">
        <f t="shared" si="186"/>
        <v>0</v>
      </c>
      <c r="J194" s="872">
        <f t="shared" si="186"/>
        <v>0</v>
      </c>
      <c r="K194" s="821">
        <f t="shared" si="186"/>
        <v>0</v>
      </c>
      <c r="L194" s="950">
        <f t="shared" si="186"/>
        <v>82895435</v>
      </c>
      <c r="M194" s="583">
        <f t="shared" ref="M194:U194" si="187">M189+M191+M192+M193</f>
        <v>0</v>
      </c>
      <c r="N194" s="583">
        <f t="shared" si="187"/>
        <v>0</v>
      </c>
      <c r="O194" s="583">
        <f t="shared" si="187"/>
        <v>0</v>
      </c>
      <c r="P194" s="583">
        <f t="shared" si="187"/>
        <v>0</v>
      </c>
      <c r="Q194" s="583">
        <f t="shared" si="187"/>
        <v>0</v>
      </c>
      <c r="R194" s="583">
        <f t="shared" si="187"/>
        <v>0</v>
      </c>
      <c r="S194" s="583">
        <f t="shared" si="187"/>
        <v>0</v>
      </c>
      <c r="T194" s="583">
        <f t="shared" si="187"/>
        <v>0</v>
      </c>
      <c r="U194" s="592">
        <f t="shared" si="187"/>
        <v>0</v>
      </c>
      <c r="V194" s="12" t="s">
        <v>155</v>
      </c>
      <c r="W194" s="593">
        <f>W189+W191+W192+W193</f>
        <v>0</v>
      </c>
      <c r="X194" s="1479">
        <f t="shared" ref="X194:AR194" si="188">X189+X191+X192+X193</f>
        <v>0</v>
      </c>
      <c r="Y194" s="976">
        <f t="shared" si="188"/>
        <v>0</v>
      </c>
      <c r="Z194" s="1002">
        <f t="shared" si="188"/>
        <v>0</v>
      </c>
      <c r="AA194" s="1371">
        <f t="shared" si="188"/>
        <v>0</v>
      </c>
      <c r="AB194" s="795">
        <f t="shared" si="188"/>
        <v>0</v>
      </c>
      <c r="AC194" s="795">
        <f t="shared" si="188"/>
        <v>0</v>
      </c>
      <c r="AD194" s="1423">
        <f t="shared" si="188"/>
        <v>0</v>
      </c>
      <c r="AE194" s="1423">
        <f t="shared" si="188"/>
        <v>0</v>
      </c>
      <c r="AF194" s="1397">
        <f>AF189+AF191+AF192+AF193</f>
        <v>0</v>
      </c>
      <c r="AG194" s="1397">
        <f>AG189+AG191+AG192+AG193</f>
        <v>0</v>
      </c>
      <c r="AH194" s="769">
        <f>AH189+AH191+AH192+AH193</f>
        <v>0</v>
      </c>
      <c r="AI194" s="769">
        <f>AI189+AI191+AI192+AI193</f>
        <v>0</v>
      </c>
      <c r="AJ194" s="12" t="s">
        <v>155</v>
      </c>
      <c r="AK194" s="593">
        <f>AK189+AK191+AK192+AK193</f>
        <v>0</v>
      </c>
      <c r="AL194" s="593">
        <f>AL189+AL191+AL192+AL193</f>
        <v>0</v>
      </c>
      <c r="AM194" s="1449">
        <f>AM189+AM191+AM192+AM193</f>
        <v>0</v>
      </c>
      <c r="AN194" s="1449">
        <f>AN189+AN191+AN192+AN193</f>
        <v>0</v>
      </c>
      <c r="AO194" s="739">
        <f t="shared" si="188"/>
        <v>0</v>
      </c>
      <c r="AP194" s="739">
        <f t="shared" si="188"/>
        <v>0</v>
      </c>
      <c r="AQ194" s="739">
        <f>AQ189+AQ191+AQ192+AQ193</f>
        <v>0</v>
      </c>
      <c r="AR194" s="739">
        <f t="shared" si="188"/>
        <v>0</v>
      </c>
      <c r="AS194" s="686"/>
      <c r="AT194" s="639">
        <f>AT189+AT191+AT192+AT193</f>
        <v>0</v>
      </c>
      <c r="AU194" s="713">
        <f>AU189+AU191+AU192+AU193</f>
        <v>0</v>
      </c>
      <c r="AV194" s="1020">
        <f t="shared" si="160"/>
        <v>82895435</v>
      </c>
      <c r="AW194" s="654"/>
    </row>
    <row r="195" spans="1:50" ht="16.5" thickBot="1">
      <c r="A195" s="13" t="s">
        <v>156</v>
      </c>
      <c r="B195" s="577">
        <f t="shared" ref="B195:L195" si="189">B194</f>
        <v>0</v>
      </c>
      <c r="C195" s="577">
        <f>C194</f>
        <v>0</v>
      </c>
      <c r="D195" s="577">
        <f>D194</f>
        <v>0</v>
      </c>
      <c r="E195" s="577">
        <f t="shared" si="189"/>
        <v>0</v>
      </c>
      <c r="F195" s="578">
        <f t="shared" si="189"/>
        <v>0</v>
      </c>
      <c r="G195" s="579">
        <f t="shared" si="189"/>
        <v>0</v>
      </c>
      <c r="H195" s="886">
        <f t="shared" si="189"/>
        <v>0</v>
      </c>
      <c r="I195" s="912">
        <f t="shared" si="189"/>
        <v>0</v>
      </c>
      <c r="J195" s="860">
        <f t="shared" si="189"/>
        <v>0</v>
      </c>
      <c r="K195" s="809">
        <f t="shared" si="189"/>
        <v>0</v>
      </c>
      <c r="L195" s="938">
        <f t="shared" si="189"/>
        <v>82895435</v>
      </c>
      <c r="M195" s="577">
        <f t="shared" ref="M195:U195" si="190">M194</f>
        <v>0</v>
      </c>
      <c r="N195" s="577">
        <f t="shared" si="190"/>
        <v>0</v>
      </c>
      <c r="O195" s="577">
        <f t="shared" si="190"/>
        <v>0</v>
      </c>
      <c r="P195" s="577">
        <f t="shared" si="190"/>
        <v>0</v>
      </c>
      <c r="Q195" s="577">
        <f t="shared" si="190"/>
        <v>0</v>
      </c>
      <c r="R195" s="577">
        <f t="shared" si="190"/>
        <v>0</v>
      </c>
      <c r="S195" s="577">
        <f t="shared" si="190"/>
        <v>0</v>
      </c>
      <c r="T195" s="577">
        <f t="shared" si="190"/>
        <v>0</v>
      </c>
      <c r="U195" s="578">
        <f t="shared" si="190"/>
        <v>0</v>
      </c>
      <c r="V195" s="13" t="s">
        <v>156</v>
      </c>
      <c r="W195" s="579">
        <f>W194</f>
        <v>0</v>
      </c>
      <c r="X195" s="1467">
        <f t="shared" ref="X195:AR195" si="191">X194</f>
        <v>0</v>
      </c>
      <c r="Y195" s="964">
        <f t="shared" si="191"/>
        <v>0</v>
      </c>
      <c r="Z195" s="990">
        <f t="shared" si="191"/>
        <v>0</v>
      </c>
      <c r="AA195" s="1359">
        <f t="shared" si="191"/>
        <v>0</v>
      </c>
      <c r="AB195" s="783">
        <f t="shared" si="191"/>
        <v>0</v>
      </c>
      <c r="AC195" s="783">
        <f t="shared" si="191"/>
        <v>0</v>
      </c>
      <c r="AD195" s="1411">
        <f t="shared" si="191"/>
        <v>0</v>
      </c>
      <c r="AE195" s="1411">
        <f t="shared" si="191"/>
        <v>0</v>
      </c>
      <c r="AF195" s="1385">
        <f>AF194</f>
        <v>0</v>
      </c>
      <c r="AG195" s="1385">
        <f>AG194</f>
        <v>0</v>
      </c>
      <c r="AH195" s="753">
        <f>AH194</f>
        <v>0</v>
      </c>
      <c r="AI195" s="753">
        <f>AI194</f>
        <v>0</v>
      </c>
      <c r="AJ195" s="13" t="s">
        <v>156</v>
      </c>
      <c r="AK195" s="579">
        <f>AK194</f>
        <v>0</v>
      </c>
      <c r="AL195" s="579">
        <f>AL194</f>
        <v>0</v>
      </c>
      <c r="AM195" s="1437">
        <f>AM194</f>
        <v>0</v>
      </c>
      <c r="AN195" s="1437">
        <f>AN194</f>
        <v>0</v>
      </c>
      <c r="AO195" s="727">
        <f t="shared" si="191"/>
        <v>0</v>
      </c>
      <c r="AP195" s="727">
        <f t="shared" si="191"/>
        <v>0</v>
      </c>
      <c r="AQ195" s="727">
        <f>AQ194</f>
        <v>0</v>
      </c>
      <c r="AR195" s="727">
        <f t="shared" si="191"/>
        <v>0</v>
      </c>
      <c r="AS195" s="676"/>
      <c r="AT195" s="633">
        <f>AT194</f>
        <v>0</v>
      </c>
      <c r="AU195" s="701">
        <f>AU194</f>
        <v>0</v>
      </c>
      <c r="AV195" s="1518">
        <f t="shared" si="160"/>
        <v>82895435</v>
      </c>
      <c r="AW195" s="654"/>
    </row>
    <row r="196" spans="1:50" ht="19.5" thickBot="1">
      <c r="A196" s="17" t="s">
        <v>157</v>
      </c>
      <c r="B196" s="18">
        <f t="shared" ref="B196:L196" si="192">B141+B147+B167+B178+B183+B185+B187+B195</f>
        <v>0</v>
      </c>
      <c r="C196" s="18">
        <f>C141+C147+C167+C178+C183+C185+C187+C195</f>
        <v>0</v>
      </c>
      <c r="D196" s="18">
        <f>D141+D147+D167+D178+D183+D185+D187+D195</f>
        <v>0</v>
      </c>
      <c r="E196" s="18">
        <f t="shared" si="192"/>
        <v>160960</v>
      </c>
      <c r="F196" s="19">
        <f t="shared" si="192"/>
        <v>160960</v>
      </c>
      <c r="G196" s="20">
        <f t="shared" si="192"/>
        <v>6181639</v>
      </c>
      <c r="H196" s="20">
        <f t="shared" si="192"/>
        <v>1465120</v>
      </c>
      <c r="I196" s="20">
        <f t="shared" si="192"/>
        <v>12329160</v>
      </c>
      <c r="J196" s="20">
        <f t="shared" si="192"/>
        <v>0</v>
      </c>
      <c r="K196" s="20">
        <f t="shared" si="192"/>
        <v>89841283</v>
      </c>
      <c r="L196" s="20">
        <f t="shared" si="192"/>
        <v>82895435</v>
      </c>
      <c r="M196" s="18">
        <f t="shared" ref="M196:U196" si="193">M141+M147+M167+M178+M183+M185+M187+M195</f>
        <v>0</v>
      </c>
      <c r="N196" s="18">
        <f t="shared" si="193"/>
        <v>0</v>
      </c>
      <c r="O196" s="18">
        <f t="shared" si="193"/>
        <v>0</v>
      </c>
      <c r="P196" s="18">
        <f t="shared" si="193"/>
        <v>0</v>
      </c>
      <c r="Q196" s="18">
        <f t="shared" si="193"/>
        <v>0</v>
      </c>
      <c r="R196" s="18">
        <f t="shared" si="193"/>
        <v>0</v>
      </c>
      <c r="S196" s="18">
        <f t="shared" si="193"/>
        <v>0</v>
      </c>
      <c r="T196" s="18">
        <f t="shared" si="193"/>
        <v>1610625.1500000001</v>
      </c>
      <c r="U196" s="19">
        <f t="shared" si="193"/>
        <v>1610625.1500000001</v>
      </c>
      <c r="V196" s="17" t="s">
        <v>157</v>
      </c>
      <c r="W196" s="20">
        <f>W141+W147+W167+W178+W183+W185+W187+W195</f>
        <v>0</v>
      </c>
      <c r="X196" s="20">
        <f t="shared" ref="X196:AU196" si="194">X141+X147+X167+X178+X183+X185+X187+X195</f>
        <v>0</v>
      </c>
      <c r="Y196" s="20">
        <f t="shared" si="194"/>
        <v>0</v>
      </c>
      <c r="Z196" s="20">
        <f t="shared" si="194"/>
        <v>15240</v>
      </c>
      <c r="AA196" s="20">
        <f t="shared" si="194"/>
        <v>758012.8</v>
      </c>
      <c r="AB196" s="20">
        <f t="shared" si="194"/>
        <v>17448120</v>
      </c>
      <c r="AC196" s="20">
        <f t="shared" si="194"/>
        <v>0</v>
      </c>
      <c r="AD196" s="20">
        <f t="shared" si="194"/>
        <v>0</v>
      </c>
      <c r="AE196" s="20">
        <f t="shared" si="194"/>
        <v>0</v>
      </c>
      <c r="AF196" s="20">
        <f>AF141+AF147+AF167+AF178+AF183+AF185+AF187+AF195</f>
        <v>0</v>
      </c>
      <c r="AG196" s="20">
        <f>AG141+AG147+AG167+AG178+AG183+AG185+AG187+AG195</f>
        <v>6246040</v>
      </c>
      <c r="AH196" s="20">
        <f>AH141+AH147+AH167+AH178+AH183+AH185+AH187+AH195</f>
        <v>0</v>
      </c>
      <c r="AI196" s="20">
        <f>AI141+AI147+AI167+AI178+AI183+AI185+AI187+AI195</f>
        <v>0</v>
      </c>
      <c r="AJ196" s="17" t="s">
        <v>157</v>
      </c>
      <c r="AK196" s="20">
        <f>AK141+AK147+AK167+AK178+AK183+AK185+AK187+AK195</f>
        <v>0</v>
      </c>
      <c r="AL196" s="20">
        <f>AL141+AL147+AL167+AL178+AL183+AL185+AL187+AL195</f>
        <v>0</v>
      </c>
      <c r="AM196" s="20">
        <f>AM141+AM147+AM167+AM178+AM183+AM185+AM187+AM195</f>
        <v>0</v>
      </c>
      <c r="AN196" s="20">
        <f>AN141+AN147+AN167+AN178+AN183+AN185+AN187+AN195</f>
        <v>0</v>
      </c>
      <c r="AO196" s="20">
        <f t="shared" si="194"/>
        <v>0</v>
      </c>
      <c r="AP196" s="20">
        <f t="shared" si="194"/>
        <v>0</v>
      </c>
      <c r="AQ196" s="20">
        <f>AQ141+AQ147+AQ167+AQ178+AQ183+AQ185+AQ187+AQ195</f>
        <v>15240</v>
      </c>
      <c r="AR196" s="20">
        <f t="shared" si="194"/>
        <v>0</v>
      </c>
      <c r="AS196" s="649">
        <f t="shared" si="194"/>
        <v>18830000</v>
      </c>
      <c r="AT196" s="19">
        <f t="shared" si="194"/>
        <v>18830000</v>
      </c>
      <c r="AU196" s="20">
        <f t="shared" si="194"/>
        <v>0</v>
      </c>
      <c r="AV196" s="1315">
        <f>SUM(B196:AU196)-SUM(M196:T196)-SUM(B196:E196)-AS196</f>
        <v>237796874.95000002</v>
      </c>
      <c r="AW196" s="654">
        <f>AV141+AV147+AV167+AV178+AV195+AV183+AV185</f>
        <v>237796874.95000002</v>
      </c>
      <c r="AX196" s="656">
        <f>AV196-AW196</f>
        <v>0</v>
      </c>
    </row>
    <row r="197" spans="1:50">
      <c r="B197" s="651"/>
      <c r="C197" s="651"/>
      <c r="D197" s="651"/>
      <c r="E197" s="651"/>
      <c r="F197" s="651"/>
      <c r="G197" s="651"/>
      <c r="H197" s="651"/>
      <c r="I197" s="651"/>
      <c r="J197" s="651"/>
      <c r="K197" s="651"/>
      <c r="L197" s="651"/>
      <c r="M197" s="651"/>
      <c r="N197" s="651"/>
      <c r="O197" s="651"/>
      <c r="P197" s="651"/>
      <c r="Q197" s="651"/>
      <c r="R197" s="651"/>
      <c r="S197" s="651"/>
      <c r="T197" s="651"/>
      <c r="U197" s="651"/>
      <c r="W197" s="651"/>
      <c r="X197" s="651"/>
      <c r="Y197" s="651"/>
      <c r="Z197" s="651"/>
      <c r="AA197" s="651"/>
      <c r="AB197" s="651"/>
      <c r="AC197" s="651"/>
      <c r="AD197" s="651"/>
      <c r="AE197" s="651"/>
      <c r="AF197" s="651"/>
      <c r="AG197" s="651"/>
      <c r="AH197" s="651"/>
      <c r="AI197" s="651"/>
      <c r="AK197" s="651"/>
      <c r="AL197" s="651"/>
      <c r="AM197" s="651"/>
      <c r="AN197" s="651"/>
      <c r="AO197" s="651"/>
      <c r="AP197" s="651"/>
      <c r="AQ197" s="651"/>
      <c r="AR197" s="651"/>
      <c r="AS197" s="651"/>
      <c r="AT197" s="651"/>
      <c r="AU197" s="651"/>
      <c r="AV197" s="1011"/>
      <c r="AW197" s="1010">
        <f>AV196-AV128</f>
        <v>-0.53999996185302734</v>
      </c>
    </row>
    <row r="198" spans="1:50">
      <c r="B198" s="651"/>
      <c r="C198" s="651"/>
      <c r="D198" s="651"/>
      <c r="E198" s="651"/>
      <c r="F198" s="651"/>
      <c r="G198" s="651"/>
      <c r="H198" s="651"/>
      <c r="I198" s="651"/>
      <c r="J198" s="651"/>
      <c r="K198" s="651"/>
      <c r="L198" s="651"/>
      <c r="M198" s="651"/>
      <c r="N198" s="651"/>
      <c r="O198" s="651"/>
      <c r="P198" s="651"/>
      <c r="Q198" s="651"/>
      <c r="R198" s="651"/>
      <c r="S198" s="651"/>
      <c r="T198" s="651"/>
      <c r="U198" s="651"/>
      <c r="W198" s="651"/>
      <c r="X198" s="651"/>
      <c r="Y198" s="651"/>
      <c r="Z198" s="651"/>
      <c r="AA198" s="651"/>
      <c r="AB198" s="651"/>
      <c r="AC198" s="651"/>
      <c r="AD198" s="651"/>
      <c r="AE198" s="651"/>
      <c r="AF198" s="651"/>
      <c r="AG198" s="651"/>
      <c r="AH198" s="651"/>
      <c r="AI198" s="651"/>
      <c r="AK198" s="651"/>
      <c r="AL198" s="651"/>
      <c r="AM198" s="651"/>
      <c r="AN198" s="651"/>
      <c r="AO198" s="651"/>
      <c r="AP198" s="651"/>
      <c r="AQ198" s="651"/>
      <c r="AR198" s="651"/>
      <c r="AS198" s="651"/>
      <c r="AT198" s="651"/>
      <c r="AU198" s="651"/>
      <c r="AV198" s="1011"/>
    </row>
    <row r="199" spans="1:50">
      <c r="B199" s="651"/>
      <c r="C199" s="651"/>
      <c r="D199" s="651"/>
      <c r="E199" s="651"/>
      <c r="F199" s="651"/>
      <c r="G199" s="651"/>
      <c r="H199" s="651"/>
      <c r="I199" s="651"/>
      <c r="J199" s="651"/>
      <c r="K199" s="651"/>
      <c r="L199" s="651"/>
      <c r="M199" s="651"/>
      <c r="N199" s="651"/>
      <c r="O199" s="651"/>
      <c r="P199" s="651"/>
      <c r="Q199" s="651"/>
      <c r="R199" s="651"/>
      <c r="S199" s="651"/>
      <c r="T199" s="651"/>
      <c r="U199" s="651"/>
      <c r="W199" s="651"/>
      <c r="X199" s="651"/>
      <c r="Y199" s="651"/>
      <c r="Z199" s="651"/>
      <c r="AA199" s="651"/>
      <c r="AB199" s="651"/>
      <c r="AC199" s="651"/>
      <c r="AD199" s="651"/>
      <c r="AE199" s="651"/>
      <c r="AF199" s="651"/>
      <c r="AG199" s="651"/>
      <c r="AH199" s="651"/>
      <c r="AI199" s="651"/>
      <c r="AK199" s="651"/>
      <c r="AL199" s="651"/>
      <c r="AM199" s="651"/>
      <c r="AN199" s="651"/>
      <c r="AO199" s="651"/>
      <c r="AP199" s="651"/>
      <c r="AQ199" s="651"/>
      <c r="AR199" s="651"/>
      <c r="AS199" s="651"/>
      <c r="AT199" s="651"/>
      <c r="AU199" s="651"/>
      <c r="AV199" s="1011"/>
    </row>
    <row r="200" spans="1:50">
      <c r="B200" s="651"/>
      <c r="C200" s="651"/>
      <c r="D200" s="651"/>
      <c r="E200" s="651"/>
      <c r="F200" s="651"/>
      <c r="G200" s="651"/>
      <c r="H200" s="651"/>
      <c r="I200" s="651"/>
      <c r="J200" s="651"/>
      <c r="K200" s="651"/>
      <c r="L200" s="651"/>
      <c r="M200" s="651"/>
      <c r="N200" s="651"/>
      <c r="O200" s="651"/>
      <c r="P200" s="651"/>
      <c r="Q200" s="651"/>
      <c r="R200" s="651"/>
      <c r="S200" s="651"/>
      <c r="T200" s="651"/>
      <c r="U200" s="651"/>
      <c r="W200" s="651"/>
      <c r="X200" s="651"/>
      <c r="Y200" s="651"/>
      <c r="Z200" s="651"/>
      <c r="AA200" s="651"/>
      <c r="AB200" s="651"/>
      <c r="AC200" s="651"/>
      <c r="AD200" s="651"/>
      <c r="AE200" s="651"/>
      <c r="AF200" s="651"/>
      <c r="AG200" s="651"/>
      <c r="AH200" s="651"/>
      <c r="AI200" s="651"/>
      <c r="AK200" s="651"/>
      <c r="AL200" s="651"/>
      <c r="AM200" s="651"/>
      <c r="AN200" s="651"/>
      <c r="AO200" s="651"/>
      <c r="AP200" s="651"/>
      <c r="AQ200" s="651"/>
      <c r="AR200" s="651"/>
      <c r="AS200" s="651"/>
      <c r="AT200" s="651"/>
      <c r="AU200" s="651"/>
      <c r="AV200" s="1011"/>
    </row>
  </sheetData>
  <mergeCells count="176">
    <mergeCell ref="AQ179:AQ180"/>
    <mergeCell ref="AR179:AR180"/>
    <mergeCell ref="AS179:AT179"/>
    <mergeCell ref="AU179:AU180"/>
    <mergeCell ref="AV179:AV180"/>
    <mergeCell ref="AL179:AL180"/>
    <mergeCell ref="AM179:AM180"/>
    <mergeCell ref="AN179:AN180"/>
    <mergeCell ref="AO179:AO180"/>
    <mergeCell ref="AP179:AP180"/>
    <mergeCell ref="AG179:AG180"/>
    <mergeCell ref="AH179:AH180"/>
    <mergeCell ref="AI179:AI180"/>
    <mergeCell ref="AJ179:AJ180"/>
    <mergeCell ref="AK179:AK180"/>
    <mergeCell ref="AB179:AB180"/>
    <mergeCell ref="AC179:AC180"/>
    <mergeCell ref="AD179:AD180"/>
    <mergeCell ref="AE179:AE180"/>
    <mergeCell ref="AF179:AF180"/>
    <mergeCell ref="W179:W180"/>
    <mergeCell ref="X179:X180"/>
    <mergeCell ref="Y179:Y180"/>
    <mergeCell ref="Z179:Z180"/>
    <mergeCell ref="AA179:AA180"/>
    <mergeCell ref="J179:J180"/>
    <mergeCell ref="K179:K180"/>
    <mergeCell ref="L179:L180"/>
    <mergeCell ref="M179:U179"/>
    <mergeCell ref="V179:V180"/>
    <mergeCell ref="A179:A180"/>
    <mergeCell ref="B179:F179"/>
    <mergeCell ref="G179:G180"/>
    <mergeCell ref="H179:H180"/>
    <mergeCell ref="I179:I180"/>
    <mergeCell ref="AQ129:AQ130"/>
    <mergeCell ref="AR129:AR130"/>
    <mergeCell ref="AS129:AT129"/>
    <mergeCell ref="AU129:AU130"/>
    <mergeCell ref="AB129:AB130"/>
    <mergeCell ref="AC129:AC130"/>
    <mergeCell ref="AD129:AD130"/>
    <mergeCell ref="AE129:AE130"/>
    <mergeCell ref="AF129:AF130"/>
    <mergeCell ref="W129:W130"/>
    <mergeCell ref="X129:X130"/>
    <mergeCell ref="Y129:Y130"/>
    <mergeCell ref="Z129:Z130"/>
    <mergeCell ref="AA129:AA130"/>
    <mergeCell ref="J129:J130"/>
    <mergeCell ref="K129:K130"/>
    <mergeCell ref="L129:L130"/>
    <mergeCell ref="M129:U129"/>
    <mergeCell ref="V129:V130"/>
    <mergeCell ref="AV129:AV130"/>
    <mergeCell ref="AL129:AL130"/>
    <mergeCell ref="AM129:AM130"/>
    <mergeCell ref="AN129:AN130"/>
    <mergeCell ref="AO129:AO130"/>
    <mergeCell ref="AP129:AP130"/>
    <mergeCell ref="AG129:AG130"/>
    <mergeCell ref="AH129:AH130"/>
    <mergeCell ref="AI129:AI130"/>
    <mergeCell ref="AJ129:AJ130"/>
    <mergeCell ref="AK129:AK130"/>
    <mergeCell ref="A129:A130"/>
    <mergeCell ref="B129:F129"/>
    <mergeCell ref="G129:G130"/>
    <mergeCell ref="H129:H130"/>
    <mergeCell ref="I129:I130"/>
    <mergeCell ref="AQ98:AQ99"/>
    <mergeCell ref="AR98:AR99"/>
    <mergeCell ref="AS98:AT98"/>
    <mergeCell ref="AU98:AU99"/>
    <mergeCell ref="AB98:AB99"/>
    <mergeCell ref="AC98:AC99"/>
    <mergeCell ref="AD98:AD99"/>
    <mergeCell ref="AE98:AE99"/>
    <mergeCell ref="AF98:AF99"/>
    <mergeCell ref="W98:W99"/>
    <mergeCell ref="X98:X99"/>
    <mergeCell ref="Y98:Y99"/>
    <mergeCell ref="Z98:Z99"/>
    <mergeCell ref="AA98:AA99"/>
    <mergeCell ref="J98:J99"/>
    <mergeCell ref="K98:K99"/>
    <mergeCell ref="L98:L99"/>
    <mergeCell ref="M98:U98"/>
    <mergeCell ref="V98:V99"/>
    <mergeCell ref="AV98:AV99"/>
    <mergeCell ref="AL98:AL99"/>
    <mergeCell ref="AM98:AM99"/>
    <mergeCell ref="AN98:AN99"/>
    <mergeCell ref="AO98:AO99"/>
    <mergeCell ref="AP98:AP99"/>
    <mergeCell ref="AG98:AG99"/>
    <mergeCell ref="AH98:AH99"/>
    <mergeCell ref="AI98:AI99"/>
    <mergeCell ref="AJ98:AJ99"/>
    <mergeCell ref="AK98:AK99"/>
    <mergeCell ref="A98:A99"/>
    <mergeCell ref="B98:F98"/>
    <mergeCell ref="G98:G99"/>
    <mergeCell ref="H98:H99"/>
    <mergeCell ref="I98:I99"/>
    <mergeCell ref="AQ48:AQ49"/>
    <mergeCell ref="AR48:AR49"/>
    <mergeCell ref="AS48:AT48"/>
    <mergeCell ref="AU48:AU49"/>
    <mergeCell ref="AB48:AB49"/>
    <mergeCell ref="AC48:AC49"/>
    <mergeCell ref="AD48:AD49"/>
    <mergeCell ref="AE48:AE49"/>
    <mergeCell ref="AF48:AF49"/>
    <mergeCell ref="W48:W49"/>
    <mergeCell ref="X48:X49"/>
    <mergeCell ref="Y48:Y49"/>
    <mergeCell ref="Z48:Z49"/>
    <mergeCell ref="AA48:AA49"/>
    <mergeCell ref="J48:J49"/>
    <mergeCell ref="K48:K49"/>
    <mergeCell ref="L48:L49"/>
    <mergeCell ref="M48:U48"/>
    <mergeCell ref="V48:V49"/>
    <mergeCell ref="AV48:AV49"/>
    <mergeCell ref="AL48:AL49"/>
    <mergeCell ref="AM48:AM49"/>
    <mergeCell ref="AN48:AN49"/>
    <mergeCell ref="AO48:AO49"/>
    <mergeCell ref="AP48:AP49"/>
    <mergeCell ref="AG48:AG49"/>
    <mergeCell ref="AH48:AH49"/>
    <mergeCell ref="AI48:AI49"/>
    <mergeCell ref="AJ48:AJ49"/>
    <mergeCell ref="AK48:AK49"/>
    <mergeCell ref="A48:A49"/>
    <mergeCell ref="B48:F48"/>
    <mergeCell ref="G48:G49"/>
    <mergeCell ref="H48:H49"/>
    <mergeCell ref="I48:I49"/>
    <mergeCell ref="J2:J3"/>
    <mergeCell ref="AJ2:AJ3"/>
    <mergeCell ref="AM2:AM3"/>
    <mergeCell ref="W2:W3"/>
    <mergeCell ref="B2:F2"/>
    <mergeCell ref="G2:G3"/>
    <mergeCell ref="AE2:AE3"/>
    <mergeCell ref="AC2:AC3"/>
    <mergeCell ref="I2:I3"/>
    <mergeCell ref="X2:X3"/>
    <mergeCell ref="Y2:Y3"/>
    <mergeCell ref="K2:K3"/>
    <mergeCell ref="L2:L3"/>
    <mergeCell ref="H2:H3"/>
    <mergeCell ref="AN2:AN3"/>
    <mergeCell ref="AL2:AL3"/>
    <mergeCell ref="Z2:Z3"/>
    <mergeCell ref="AA2:AA3"/>
    <mergeCell ref="AG2:AG3"/>
    <mergeCell ref="AK2:AK3"/>
    <mergeCell ref="A1:AV1"/>
    <mergeCell ref="A2:A3"/>
    <mergeCell ref="AS2:AT2"/>
    <mergeCell ref="AV2:AV3"/>
    <mergeCell ref="AP2:AP3"/>
    <mergeCell ref="AO2:AO3"/>
    <mergeCell ref="V2:V3"/>
    <mergeCell ref="AH2:AH3"/>
    <mergeCell ref="AI2:AI3"/>
    <mergeCell ref="AF2:AF3"/>
    <mergeCell ref="AR2:AR3"/>
    <mergeCell ref="AQ2:AQ3"/>
    <mergeCell ref="M2:U2"/>
    <mergeCell ref="AU2:AU3"/>
    <mergeCell ref="AB2:AB3"/>
    <mergeCell ref="AD2:AD3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rowBreaks count="3" manualBreakCount="3">
    <brk id="47" max="47" man="1"/>
    <brk id="128" max="47" man="1"/>
    <brk id="178" max="47" man="1"/>
  </rowBreaks>
  <colBreaks count="2" manualBreakCount="2">
    <brk id="21" max="187" man="1"/>
    <brk id="35" max="18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F26"/>
  <sheetViews>
    <sheetView view="pageBreakPreview" zoomScaleNormal="100" zoomScaleSheetLayoutView="100" workbookViewId="0">
      <selection activeCell="A11" sqref="A11"/>
    </sheetView>
  </sheetViews>
  <sheetFormatPr defaultColWidth="9.140625" defaultRowHeight="12.75"/>
  <cols>
    <col min="1" max="1" width="24.28515625" style="406" customWidth="1"/>
    <col min="2" max="2" width="13.42578125" style="265" customWidth="1"/>
    <col min="3" max="3" width="14" style="265" customWidth="1"/>
    <col min="4" max="4" width="15.42578125" style="265" customWidth="1"/>
    <col min="5" max="5" width="14.28515625" style="265" customWidth="1"/>
    <col min="6" max="6" width="16.140625" style="141" customWidth="1"/>
    <col min="7" max="8" width="11" style="265" customWidth="1"/>
    <col min="9" max="9" width="11.85546875" style="265" customWidth="1"/>
    <col min="10" max="16384" width="9.140625" style="265"/>
  </cols>
  <sheetData>
    <row r="1" spans="1:6" ht="25.5" customHeight="1">
      <c r="A1" s="1840" t="s">
        <v>528</v>
      </c>
      <c r="B1" s="1840"/>
      <c r="C1" s="1840"/>
      <c r="D1" s="1840"/>
      <c r="E1" s="1840"/>
      <c r="F1" s="1840"/>
    </row>
    <row r="2" spans="1:6" ht="22.5" customHeight="1" thickBot="1">
      <c r="A2" s="349"/>
      <c r="B2" s="141"/>
      <c r="C2" s="141"/>
      <c r="D2" s="141"/>
      <c r="E2" s="141"/>
      <c r="F2" s="395" t="s">
        <v>648</v>
      </c>
    </row>
    <row r="3" spans="1:6" s="267" customFormat="1" ht="44.25" customHeight="1" thickBot="1">
      <c r="A3" s="396" t="s">
        <v>529</v>
      </c>
      <c r="B3" s="397" t="s">
        <v>506</v>
      </c>
      <c r="C3" s="397" t="s">
        <v>507</v>
      </c>
      <c r="D3" s="397" t="s">
        <v>823</v>
      </c>
      <c r="E3" s="397" t="s">
        <v>822</v>
      </c>
      <c r="F3" s="398" t="s">
        <v>824</v>
      </c>
    </row>
    <row r="4" spans="1:6" s="141" customFormat="1" ht="12" customHeight="1" thickBot="1">
      <c r="A4" s="399">
        <v>1</v>
      </c>
      <c r="B4" s="400">
        <v>2</v>
      </c>
      <c r="C4" s="400">
        <v>3</v>
      </c>
      <c r="D4" s="400">
        <v>4</v>
      </c>
      <c r="E4" s="400">
        <v>5</v>
      </c>
      <c r="F4" s="401" t="s">
        <v>530</v>
      </c>
    </row>
    <row r="5" spans="1:6" ht="20.100000000000001" customHeight="1">
      <c r="A5" s="1841" t="s">
        <v>674</v>
      </c>
      <c r="B5" s="1842"/>
      <c r="C5" s="1842"/>
      <c r="D5" s="1842"/>
      <c r="E5" s="1842"/>
      <c r="F5" s="1843"/>
    </row>
    <row r="6" spans="1:6" ht="20.100000000000001" customHeight="1">
      <c r="A6" s="458" t="s">
        <v>818</v>
      </c>
      <c r="B6" s="459">
        <v>2040500</v>
      </c>
      <c r="C6" s="460" t="s">
        <v>817</v>
      </c>
      <c r="D6" s="459"/>
      <c r="E6" s="459">
        <f t="shared" ref="E6:E24" si="0">B6-D6</f>
        <v>2040500</v>
      </c>
      <c r="F6" s="461"/>
    </row>
    <row r="7" spans="1:6" ht="20.100000000000001" customHeight="1">
      <c r="A7" s="458" t="s">
        <v>819</v>
      </c>
      <c r="B7" s="459">
        <v>635000</v>
      </c>
      <c r="C7" s="460" t="s">
        <v>817</v>
      </c>
      <c r="D7" s="459"/>
      <c r="E7" s="459">
        <f t="shared" si="0"/>
        <v>635000</v>
      </c>
      <c r="F7" s="461"/>
    </row>
    <row r="8" spans="1:6" ht="20.100000000000001" customHeight="1">
      <c r="A8" s="1841" t="s">
        <v>675</v>
      </c>
      <c r="B8" s="1842"/>
      <c r="C8" s="1842"/>
      <c r="D8" s="1842"/>
      <c r="E8" s="1842"/>
      <c r="F8" s="1843"/>
    </row>
    <row r="9" spans="1:6" ht="20.100000000000001" customHeight="1">
      <c r="A9" s="458" t="s">
        <v>820</v>
      </c>
      <c r="B9" s="459">
        <v>1397000</v>
      </c>
      <c r="C9" s="460" t="s">
        <v>817</v>
      </c>
      <c r="D9" s="459"/>
      <c r="E9" s="459">
        <f t="shared" si="0"/>
        <v>1397000</v>
      </c>
      <c r="F9" s="461"/>
    </row>
    <row r="10" spans="1:6" ht="20.100000000000001" customHeight="1">
      <c r="A10" s="458" t="s">
        <v>821</v>
      </c>
      <c r="B10" s="459">
        <v>25127000</v>
      </c>
      <c r="C10" s="460" t="s">
        <v>817</v>
      </c>
      <c r="D10" s="459"/>
      <c r="E10" s="459">
        <f t="shared" si="0"/>
        <v>25127000</v>
      </c>
      <c r="F10" s="461"/>
    </row>
    <row r="11" spans="1:6" ht="20.100000000000001" customHeight="1">
      <c r="A11" s="458"/>
      <c r="B11" s="459"/>
      <c r="C11" s="460"/>
      <c r="D11" s="459"/>
      <c r="E11" s="459">
        <f t="shared" si="0"/>
        <v>0</v>
      </c>
      <c r="F11" s="461"/>
    </row>
    <row r="12" spans="1:6" ht="20.100000000000001" customHeight="1">
      <c r="A12" s="458"/>
      <c r="B12" s="459"/>
      <c r="C12" s="460"/>
      <c r="D12" s="459"/>
      <c r="E12" s="459">
        <f t="shared" si="0"/>
        <v>0</v>
      </c>
      <c r="F12" s="461"/>
    </row>
    <row r="13" spans="1:6" ht="20.100000000000001" customHeight="1">
      <c r="A13" s="458"/>
      <c r="B13" s="459"/>
      <c r="C13" s="460"/>
      <c r="D13" s="459"/>
      <c r="E13" s="459">
        <f t="shared" si="0"/>
        <v>0</v>
      </c>
      <c r="F13" s="461"/>
    </row>
    <row r="14" spans="1:6" ht="20.100000000000001" customHeight="1">
      <c r="A14" s="458"/>
      <c r="B14" s="459"/>
      <c r="C14" s="460"/>
      <c r="D14" s="459"/>
      <c r="E14" s="459">
        <f t="shared" si="0"/>
        <v>0</v>
      </c>
      <c r="F14" s="461"/>
    </row>
    <row r="15" spans="1:6" ht="20.100000000000001" customHeight="1">
      <c r="A15" s="458"/>
      <c r="B15" s="459"/>
      <c r="C15" s="460"/>
      <c r="D15" s="459"/>
      <c r="E15" s="459">
        <f t="shared" si="0"/>
        <v>0</v>
      </c>
      <c r="F15" s="461"/>
    </row>
    <row r="16" spans="1:6" ht="20.100000000000001" customHeight="1">
      <c r="A16" s="458"/>
      <c r="B16" s="459"/>
      <c r="C16" s="460"/>
      <c r="D16" s="459"/>
      <c r="E16" s="459">
        <f t="shared" si="0"/>
        <v>0</v>
      </c>
      <c r="F16" s="461"/>
    </row>
    <row r="17" spans="1:6" ht="20.100000000000001" customHeight="1">
      <c r="A17" s="458"/>
      <c r="B17" s="459"/>
      <c r="C17" s="460"/>
      <c r="D17" s="459"/>
      <c r="E17" s="459">
        <f t="shared" si="0"/>
        <v>0</v>
      </c>
      <c r="F17" s="461"/>
    </row>
    <row r="18" spans="1:6" s="283" customFormat="1" ht="18" customHeight="1">
      <c r="A18" s="458"/>
      <c r="B18" s="459"/>
      <c r="C18" s="460"/>
      <c r="D18" s="459"/>
      <c r="E18" s="459">
        <f t="shared" si="0"/>
        <v>0</v>
      </c>
      <c r="F18" s="461"/>
    </row>
    <row r="19" spans="1:6" ht="20.100000000000001" customHeight="1">
      <c r="A19" s="458"/>
      <c r="B19" s="459"/>
      <c r="C19" s="460"/>
      <c r="D19" s="459"/>
      <c r="E19" s="459">
        <f t="shared" si="0"/>
        <v>0</v>
      </c>
      <c r="F19" s="461"/>
    </row>
    <row r="20" spans="1:6" ht="20.100000000000001" customHeight="1">
      <c r="A20" s="458"/>
      <c r="B20" s="459"/>
      <c r="C20" s="460"/>
      <c r="D20" s="459"/>
      <c r="E20" s="459">
        <f t="shared" si="0"/>
        <v>0</v>
      </c>
      <c r="F20" s="461"/>
    </row>
    <row r="21" spans="1:6" ht="20.100000000000001" customHeight="1">
      <c r="A21" s="458"/>
      <c r="B21" s="459"/>
      <c r="C21" s="460"/>
      <c r="D21" s="459"/>
      <c r="E21" s="459">
        <f t="shared" si="0"/>
        <v>0</v>
      </c>
      <c r="F21" s="461"/>
    </row>
    <row r="22" spans="1:6" ht="20.100000000000001" customHeight="1">
      <c r="A22" s="458"/>
      <c r="B22" s="459"/>
      <c r="C22" s="460"/>
      <c r="D22" s="459"/>
      <c r="E22" s="459">
        <f t="shared" si="0"/>
        <v>0</v>
      </c>
      <c r="F22" s="461"/>
    </row>
    <row r="23" spans="1:6" s="283" customFormat="1" ht="19.899999999999999" customHeight="1">
      <c r="A23" s="458"/>
      <c r="B23" s="459"/>
      <c r="C23" s="460"/>
      <c r="D23" s="459"/>
      <c r="E23" s="459">
        <f t="shared" si="0"/>
        <v>0</v>
      </c>
      <c r="F23" s="461"/>
    </row>
    <row r="24" spans="1:6" ht="19.899999999999999" customHeight="1" thickBot="1">
      <c r="A24" s="458"/>
      <c r="B24" s="459"/>
      <c r="C24" s="460"/>
      <c r="D24" s="459"/>
      <c r="E24" s="459">
        <f t="shared" si="0"/>
        <v>0</v>
      </c>
      <c r="F24" s="461"/>
    </row>
    <row r="25" spans="1:6" ht="19.899999999999999" customHeight="1" thickBot="1">
      <c r="A25" s="402" t="s">
        <v>508</v>
      </c>
      <c r="B25" s="403">
        <f>SUM(B5:B24)</f>
        <v>29199500</v>
      </c>
      <c r="C25" s="403">
        <f>SUM(C5:C24)</f>
        <v>0</v>
      </c>
      <c r="D25" s="403">
        <f>SUM(D5:D24)</f>
        <v>0</v>
      </c>
      <c r="E25" s="403">
        <f>SUM(E5:E24)</f>
        <v>29199500</v>
      </c>
      <c r="F25" s="404">
        <f>SUM(F5:F24)</f>
        <v>0</v>
      </c>
    </row>
    <row r="26" spans="1:6">
      <c r="A26" s="405"/>
    </row>
  </sheetData>
  <sheetProtection selectLockedCells="1" selectUnlockedCells="1"/>
  <mergeCells count="3">
    <mergeCell ref="A1:F1"/>
    <mergeCell ref="A5:F5"/>
    <mergeCell ref="A8:F8"/>
  </mergeCells>
  <printOptions horizontalCentered="1"/>
  <pageMargins left="0.78740157480314965" right="0.78740157480314965" top="0.89" bottom="0.98425196850393704" header="0.61" footer="0.78740157480314965"/>
  <pageSetup paperSize="9" scale="87" orientation="portrait" r:id="rId1"/>
  <headerFooter alignWithMargins="0">
    <oddHeader>&amp;R&amp;"Times New Roman CE,Félkövér dőlt" 5. melléklet a ..../2020. (I.....)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F25"/>
  <sheetViews>
    <sheetView view="pageBreakPreview" zoomScaleNormal="100" zoomScaleSheetLayoutView="100" workbookViewId="0">
      <selection activeCell="E10" sqref="E10"/>
    </sheetView>
  </sheetViews>
  <sheetFormatPr defaultColWidth="9.140625" defaultRowHeight="12.75"/>
  <cols>
    <col min="1" max="1" width="52" style="285" customWidth="1"/>
    <col min="2" max="2" width="13.42578125" style="284" customWidth="1"/>
    <col min="3" max="3" width="14" style="284" customWidth="1"/>
    <col min="4" max="4" width="15.42578125" style="284" customWidth="1"/>
    <col min="5" max="5" width="14.28515625" style="284" customWidth="1"/>
    <col min="6" max="6" width="16.140625" style="284" customWidth="1"/>
    <col min="7" max="8" width="11" style="265" customWidth="1"/>
    <col min="9" max="9" width="11.85546875" style="265" customWidth="1"/>
    <col min="10" max="16384" width="9.140625" style="265"/>
  </cols>
  <sheetData>
    <row r="1" spans="1:6" ht="24.75" customHeight="1">
      <c r="A1" s="1844" t="s">
        <v>504</v>
      </c>
      <c r="B1" s="1844"/>
      <c r="C1" s="1844"/>
      <c r="D1" s="1844"/>
      <c r="E1" s="1844"/>
      <c r="F1" s="1844"/>
    </row>
    <row r="2" spans="1:6" ht="23.25" customHeight="1" thickBot="1">
      <c r="A2" s="142"/>
      <c r="B2" s="138"/>
      <c r="C2" s="138"/>
      <c r="D2" s="138"/>
      <c r="E2" s="138"/>
      <c r="F2" s="266" t="s">
        <v>648</v>
      </c>
    </row>
    <row r="3" spans="1:6" s="267" customFormat="1" ht="48.75" customHeight="1" thickBot="1">
      <c r="A3" s="147" t="s">
        <v>505</v>
      </c>
      <c r="B3" s="148" t="s">
        <v>506</v>
      </c>
      <c r="C3" s="148" t="s">
        <v>507</v>
      </c>
      <c r="D3" s="397" t="s">
        <v>823</v>
      </c>
      <c r="E3" s="397" t="s">
        <v>822</v>
      </c>
      <c r="F3" s="398" t="s">
        <v>824</v>
      </c>
    </row>
    <row r="4" spans="1:6" s="141" customFormat="1" ht="15" customHeight="1" thickBot="1">
      <c r="A4" s="268">
        <v>1</v>
      </c>
      <c r="B4" s="269">
        <v>2</v>
      </c>
      <c r="C4" s="269">
        <v>3</v>
      </c>
      <c r="D4" s="269">
        <v>4</v>
      </c>
      <c r="E4" s="269">
        <v>5</v>
      </c>
      <c r="F4" s="270">
        <v>6</v>
      </c>
    </row>
    <row r="5" spans="1:6" ht="15.95" customHeight="1">
      <c r="A5" s="457" t="s">
        <v>675</v>
      </c>
      <c r="B5" s="272"/>
      <c r="C5" s="273"/>
      <c r="D5" s="272"/>
      <c r="E5" s="272"/>
      <c r="F5" s="274"/>
    </row>
    <row r="6" spans="1:6" ht="15.95" customHeight="1">
      <c r="A6" s="271" t="s">
        <v>825</v>
      </c>
      <c r="B6" s="272">
        <v>11605040</v>
      </c>
      <c r="C6" s="273" t="s">
        <v>817</v>
      </c>
      <c r="D6" s="272"/>
      <c r="E6" s="272">
        <f t="shared" ref="E6:E11" si="0">B6-D6</f>
        <v>11605040</v>
      </c>
      <c r="F6" s="274"/>
    </row>
    <row r="7" spans="1:6" ht="15.95" customHeight="1">
      <c r="A7" s="271" t="s">
        <v>826</v>
      </c>
      <c r="B7" s="272">
        <v>825500</v>
      </c>
      <c r="C7" s="273" t="s">
        <v>817</v>
      </c>
      <c r="D7" s="272"/>
      <c r="E7" s="272">
        <f t="shared" si="0"/>
        <v>825500</v>
      </c>
      <c r="F7" s="274"/>
    </row>
    <row r="8" spans="1:6" ht="15.95" customHeight="1">
      <c r="A8" s="271" t="s">
        <v>827</v>
      </c>
      <c r="B8" s="272">
        <v>28981400</v>
      </c>
      <c r="C8" s="273" t="s">
        <v>817</v>
      </c>
      <c r="D8" s="272"/>
      <c r="E8" s="272">
        <f t="shared" si="0"/>
        <v>28981400</v>
      </c>
      <c r="F8" s="274"/>
    </row>
    <row r="9" spans="1:6" ht="15.95" customHeight="1">
      <c r="A9" s="271" t="s">
        <v>828</v>
      </c>
      <c r="B9" s="272">
        <v>12065000</v>
      </c>
      <c r="C9" s="273" t="s">
        <v>817</v>
      </c>
      <c r="D9" s="272"/>
      <c r="E9" s="272">
        <f t="shared" si="0"/>
        <v>12065000</v>
      </c>
      <c r="F9" s="274"/>
    </row>
    <row r="10" spans="1:6" ht="15.95" customHeight="1">
      <c r="A10" s="1889" t="s">
        <v>829</v>
      </c>
      <c r="B10" s="272">
        <v>10000000</v>
      </c>
      <c r="C10" s="273" t="s">
        <v>817</v>
      </c>
      <c r="D10" s="272"/>
      <c r="E10" s="272">
        <f t="shared" si="0"/>
        <v>10000000</v>
      </c>
      <c r="F10" s="274"/>
    </row>
    <row r="11" spans="1:6" ht="15.95" customHeight="1">
      <c r="A11" s="271"/>
      <c r="B11" s="272"/>
      <c r="C11" s="273"/>
      <c r="D11" s="272"/>
      <c r="E11" s="272">
        <f t="shared" si="0"/>
        <v>0</v>
      </c>
      <c r="F11" s="274"/>
    </row>
    <row r="12" spans="1:6" ht="15.95" customHeight="1">
      <c r="A12" s="271"/>
      <c r="B12" s="272"/>
      <c r="C12" s="273"/>
      <c r="D12" s="272"/>
      <c r="E12" s="272"/>
      <c r="F12" s="274"/>
    </row>
    <row r="13" spans="1:6" ht="15.95" customHeight="1">
      <c r="A13" s="271"/>
      <c r="B13" s="272"/>
      <c r="C13" s="273"/>
      <c r="D13" s="272"/>
      <c r="E13" s="272"/>
      <c r="F13" s="274"/>
    </row>
    <row r="14" spans="1:6" ht="15.95" customHeight="1">
      <c r="A14" s="271"/>
      <c r="B14" s="272"/>
      <c r="C14" s="273"/>
      <c r="D14" s="272"/>
      <c r="E14" s="272"/>
      <c r="F14" s="274"/>
    </row>
    <row r="15" spans="1:6" ht="15.95" customHeight="1">
      <c r="A15" s="271"/>
      <c r="B15" s="272"/>
      <c r="C15" s="273"/>
      <c r="D15" s="272"/>
      <c r="E15" s="272"/>
      <c r="F15" s="274">
        <f t="shared" ref="F15:F23" si="1">B15-D15-E15</f>
        <v>0</v>
      </c>
    </row>
    <row r="16" spans="1:6" ht="15.95" customHeight="1">
      <c r="A16" s="271"/>
      <c r="B16" s="272"/>
      <c r="C16" s="273"/>
      <c r="D16" s="272"/>
      <c r="E16" s="272"/>
      <c r="F16" s="274">
        <f t="shared" si="1"/>
        <v>0</v>
      </c>
    </row>
    <row r="17" spans="1:6" ht="15.95" customHeight="1">
      <c r="A17" s="271"/>
      <c r="B17" s="272"/>
      <c r="C17" s="273"/>
      <c r="D17" s="272"/>
      <c r="E17" s="272"/>
      <c r="F17" s="274">
        <f t="shared" si="1"/>
        <v>0</v>
      </c>
    </row>
    <row r="18" spans="1:6" ht="15.95" customHeight="1">
      <c r="A18" s="271"/>
      <c r="B18" s="272"/>
      <c r="C18" s="273"/>
      <c r="D18" s="272"/>
      <c r="E18" s="272"/>
      <c r="F18" s="274">
        <f t="shared" si="1"/>
        <v>0</v>
      </c>
    </row>
    <row r="19" spans="1:6" ht="15.95" customHeight="1">
      <c r="A19" s="271"/>
      <c r="B19" s="272"/>
      <c r="C19" s="273"/>
      <c r="D19" s="272"/>
      <c r="E19" s="272"/>
      <c r="F19" s="274">
        <f t="shared" si="1"/>
        <v>0</v>
      </c>
    </row>
    <row r="20" spans="1:6" ht="15.95" customHeight="1">
      <c r="A20" s="271"/>
      <c r="B20" s="272"/>
      <c r="C20" s="273"/>
      <c r="D20" s="272"/>
      <c r="E20" s="272"/>
      <c r="F20" s="274">
        <f t="shared" si="1"/>
        <v>0</v>
      </c>
    </row>
    <row r="21" spans="1:6" ht="15.95" customHeight="1">
      <c r="A21" s="271"/>
      <c r="B21" s="272"/>
      <c r="C21" s="273"/>
      <c r="D21" s="272"/>
      <c r="E21" s="272"/>
      <c r="F21" s="274">
        <f t="shared" si="1"/>
        <v>0</v>
      </c>
    </row>
    <row r="22" spans="1:6" ht="15.95" customHeight="1">
      <c r="A22" s="271"/>
      <c r="B22" s="272"/>
      <c r="C22" s="273"/>
      <c r="D22" s="272"/>
      <c r="E22" s="272"/>
      <c r="F22" s="274">
        <f t="shared" si="1"/>
        <v>0</v>
      </c>
    </row>
    <row r="23" spans="1:6" ht="15.95" customHeight="1" thickBot="1">
      <c r="A23" s="275"/>
      <c r="B23" s="276"/>
      <c r="C23" s="277"/>
      <c r="D23" s="276"/>
      <c r="E23" s="276"/>
      <c r="F23" s="278">
        <f t="shared" si="1"/>
        <v>0</v>
      </c>
    </row>
    <row r="24" spans="1:6" s="283" customFormat="1" ht="18" customHeight="1" thickBot="1">
      <c r="A24" s="279" t="s">
        <v>508</v>
      </c>
      <c r="B24" s="280">
        <f>SUM(B5:B23)</f>
        <v>63476940</v>
      </c>
      <c r="C24" s="281"/>
      <c r="D24" s="280">
        <f>SUM(D5:D23)</f>
        <v>0</v>
      </c>
      <c r="E24" s="280">
        <f>SUM(E5:E23)</f>
        <v>63476940</v>
      </c>
      <c r="F24" s="282">
        <f>SUM(F5:F23)</f>
        <v>0</v>
      </c>
    </row>
    <row r="25" spans="1:6">
      <c r="A25" s="1845"/>
      <c r="B25" s="1810"/>
      <c r="C25" s="1810"/>
    </row>
  </sheetData>
  <sheetProtection selectLockedCells="1" selectUnlockedCells="1"/>
  <mergeCells count="2">
    <mergeCell ref="A1:F1"/>
    <mergeCell ref="A25:C25"/>
  </mergeCells>
  <printOptions horizontalCentered="1"/>
  <pageMargins left="0.78740157480314965" right="0.78740157480314965" top="1.2369791666666667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6. melléklet a ..../2020. (I......) önkormányzati rendelethez&amp;"Times New Roman CE,Normál"&amp;10
  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K154"/>
  <sheetViews>
    <sheetView view="pageBreakPreview" topLeftCell="A103" zoomScaleNormal="100" zoomScaleSheetLayoutView="100" workbookViewId="0">
      <selection activeCell="D139" sqref="D139"/>
    </sheetView>
  </sheetViews>
  <sheetFormatPr defaultColWidth="9.140625" defaultRowHeight="12.75"/>
  <cols>
    <col min="1" max="1" width="16.7109375" style="135" customWidth="1"/>
    <col min="2" max="2" width="52.5703125" style="136" customWidth="1"/>
    <col min="3" max="3" width="11" style="137" customWidth="1"/>
    <col min="4" max="4" width="13.42578125" style="137" customWidth="1"/>
    <col min="5" max="16384" width="9.140625" style="44"/>
  </cols>
  <sheetData>
    <row r="1" spans="1:4" s="31" customFormat="1" ht="16.5" customHeight="1" thickBot="1">
      <c r="A1" s="1796" t="s">
        <v>805</v>
      </c>
      <c r="B1" s="1796"/>
      <c r="C1" s="1796"/>
      <c r="D1" s="1796"/>
    </row>
    <row r="2" spans="1:4" s="34" customFormat="1" ht="21" customHeight="1">
      <c r="A2" s="32" t="s">
        <v>176</v>
      </c>
      <c r="B2" s="33" t="s">
        <v>177</v>
      </c>
      <c r="C2" s="1797" t="s">
        <v>178</v>
      </c>
      <c r="D2" s="1798"/>
    </row>
    <row r="3" spans="1:4" s="34" customFormat="1" ht="16.5" thickBot="1">
      <c r="A3" s="35" t="s">
        <v>179</v>
      </c>
      <c r="B3" s="36" t="s">
        <v>180</v>
      </c>
      <c r="C3" s="1799">
        <v>1</v>
      </c>
      <c r="D3" s="1800"/>
    </row>
    <row r="4" spans="1:4" s="39" customFormat="1" ht="15.95" customHeight="1" thickBot="1">
      <c r="A4" s="37"/>
      <c r="B4" s="38"/>
      <c r="C4" s="1801" t="s">
        <v>644</v>
      </c>
      <c r="D4" s="1802"/>
    </row>
    <row r="5" spans="1:4" ht="36.75" thickBot="1">
      <c r="A5" s="1539" t="s">
        <v>181</v>
      </c>
      <c r="B5" s="41" t="s">
        <v>182</v>
      </c>
      <c r="C5" s="42" t="s">
        <v>771</v>
      </c>
      <c r="D5" s="43" t="s">
        <v>772</v>
      </c>
    </row>
    <row r="6" spans="1:4" s="49" customFormat="1" ht="12.95" customHeight="1" thickBot="1">
      <c r="A6" s="45">
        <v>1</v>
      </c>
      <c r="B6" s="46">
        <v>2</v>
      </c>
      <c r="C6" s="47">
        <v>3</v>
      </c>
      <c r="D6" s="48">
        <v>4</v>
      </c>
    </row>
    <row r="7" spans="1:4" s="49" customFormat="1" ht="15.95" customHeight="1" thickBot="1">
      <c r="A7" s="1793" t="s">
        <v>183</v>
      </c>
      <c r="B7" s="1794"/>
      <c r="C7" s="1794"/>
      <c r="D7" s="1795"/>
    </row>
    <row r="8" spans="1:4" s="49" customFormat="1" ht="12" customHeight="1" thickBot="1">
      <c r="A8" s="50" t="s">
        <v>184</v>
      </c>
      <c r="B8" s="51" t="s">
        <v>185</v>
      </c>
      <c r="C8" s="52">
        <f>+C9+C10+C11+C12+C13+C14</f>
        <v>89841283</v>
      </c>
      <c r="D8" s="53">
        <f>+D9+D10+D11+D12+D13+D14</f>
        <v>0</v>
      </c>
    </row>
    <row r="9" spans="1:4" s="58" customFormat="1" ht="12" customHeight="1">
      <c r="A9" s="54" t="s">
        <v>186</v>
      </c>
      <c r="B9" s="55" t="s">
        <v>187</v>
      </c>
      <c r="C9" s="56">
        <f>Önkormányzat!AV131</f>
        <v>36492592</v>
      </c>
      <c r="D9" s="57"/>
    </row>
    <row r="10" spans="1:4" s="62" customFormat="1" ht="12" customHeight="1">
      <c r="A10" s="59" t="s">
        <v>188</v>
      </c>
      <c r="B10" s="60" t="s">
        <v>189</v>
      </c>
      <c r="C10" s="56">
        <f>Önkormányzat!AV132</f>
        <v>26837550</v>
      </c>
      <c r="D10" s="61"/>
    </row>
    <row r="11" spans="1:4" s="62" customFormat="1" ht="12" customHeight="1">
      <c r="A11" s="59" t="s">
        <v>190</v>
      </c>
      <c r="B11" s="60" t="s">
        <v>191</v>
      </c>
      <c r="C11" s="56">
        <f>Önkormányzat!AV133</f>
        <v>24620880</v>
      </c>
      <c r="D11" s="61"/>
    </row>
    <row r="12" spans="1:4" s="62" customFormat="1" ht="12" customHeight="1">
      <c r="A12" s="59" t="s">
        <v>192</v>
      </c>
      <c r="B12" s="60" t="s">
        <v>193</v>
      </c>
      <c r="C12" s="56">
        <f>Önkormányzat!AV134</f>
        <v>1890261</v>
      </c>
      <c r="D12" s="61"/>
    </row>
    <row r="13" spans="1:4" s="62" customFormat="1" ht="12" customHeight="1">
      <c r="A13" s="59" t="s">
        <v>194</v>
      </c>
      <c r="B13" s="60" t="s">
        <v>195</v>
      </c>
      <c r="C13" s="56"/>
      <c r="D13" s="61"/>
    </row>
    <row r="14" spans="1:4" s="58" customFormat="1" ht="12" customHeight="1" thickBot="1">
      <c r="A14" s="63" t="s">
        <v>196</v>
      </c>
      <c r="B14" s="64" t="s">
        <v>197</v>
      </c>
      <c r="C14" s="56"/>
      <c r="D14" s="61"/>
    </row>
    <row r="15" spans="1:4" s="58" customFormat="1" ht="23.25" customHeight="1" thickBot="1">
      <c r="A15" s="50" t="s">
        <v>198</v>
      </c>
      <c r="B15" s="65" t="s">
        <v>199</v>
      </c>
      <c r="C15" s="52">
        <f>+C16+C17+C18+C19+C20</f>
        <v>25243825.150000002</v>
      </c>
      <c r="D15" s="53">
        <f>+D16+D17+D18+D19+D20</f>
        <v>0</v>
      </c>
    </row>
    <row r="16" spans="1:4" s="58" customFormat="1" ht="12" customHeight="1">
      <c r="A16" s="54" t="s">
        <v>200</v>
      </c>
      <c r="B16" s="55" t="s">
        <v>201</v>
      </c>
      <c r="C16" s="56"/>
      <c r="D16" s="66"/>
    </row>
    <row r="17" spans="1:4" s="58" customFormat="1" ht="12" customHeight="1">
      <c r="A17" s="59" t="s">
        <v>202</v>
      </c>
      <c r="B17" s="60" t="s">
        <v>203</v>
      </c>
      <c r="C17" s="56"/>
      <c r="D17" s="67"/>
    </row>
    <row r="18" spans="1:4" s="58" customFormat="1" ht="12" customHeight="1">
      <c r="A18" s="59" t="s">
        <v>204</v>
      </c>
      <c r="B18" s="60" t="s">
        <v>205</v>
      </c>
      <c r="C18" s="56"/>
      <c r="D18" s="67"/>
    </row>
    <row r="19" spans="1:4" s="58" customFormat="1" ht="12" customHeight="1">
      <c r="A19" s="59" t="s">
        <v>206</v>
      </c>
      <c r="B19" s="60" t="s">
        <v>207</v>
      </c>
      <c r="C19" s="56"/>
      <c r="D19" s="67"/>
    </row>
    <row r="20" spans="1:4" s="58" customFormat="1" ht="12" customHeight="1">
      <c r="A20" s="59" t="s">
        <v>208</v>
      </c>
      <c r="B20" s="60" t="s">
        <v>209</v>
      </c>
      <c r="C20" s="56">
        <f>Önkormányzat!AV140</f>
        <v>25243825.150000002</v>
      </c>
      <c r="D20" s="61"/>
    </row>
    <row r="21" spans="1:4" s="62" customFormat="1" ht="12" customHeight="1" thickBot="1">
      <c r="A21" s="63" t="s">
        <v>210</v>
      </c>
      <c r="B21" s="64" t="s">
        <v>211</v>
      </c>
      <c r="C21" s="56"/>
      <c r="D21" s="68"/>
    </row>
    <row r="22" spans="1:4" s="62" customFormat="1" ht="22.5" customHeight="1" thickBot="1">
      <c r="A22" s="50" t="s">
        <v>212</v>
      </c>
      <c r="B22" s="51" t="s">
        <v>213</v>
      </c>
      <c r="C22" s="52">
        <f>+C23+C24+C25+C26+C27</f>
        <v>6181639</v>
      </c>
      <c r="D22" s="53">
        <f>+D23+D24+D25+D26+D27</f>
        <v>0</v>
      </c>
    </row>
    <row r="23" spans="1:4" s="62" customFormat="1" ht="12" customHeight="1">
      <c r="A23" s="54" t="s">
        <v>214</v>
      </c>
      <c r="B23" s="55" t="s">
        <v>215</v>
      </c>
      <c r="C23" s="56"/>
      <c r="D23" s="66"/>
    </row>
    <row r="24" spans="1:4" s="58" customFormat="1" ht="12" customHeight="1">
      <c r="A24" s="59" t="s">
        <v>216</v>
      </c>
      <c r="B24" s="60" t="s">
        <v>217</v>
      </c>
      <c r="C24" s="56"/>
      <c r="D24" s="67"/>
    </row>
    <row r="25" spans="1:4" s="62" customFormat="1" ht="12" customHeight="1">
      <c r="A25" s="59" t="s">
        <v>218</v>
      </c>
      <c r="B25" s="60" t="s">
        <v>219</v>
      </c>
      <c r="C25" s="56"/>
      <c r="D25" s="67"/>
    </row>
    <row r="26" spans="1:4" s="62" customFormat="1" ht="12" customHeight="1">
      <c r="A26" s="59" t="s">
        <v>220</v>
      </c>
      <c r="B26" s="60" t="s">
        <v>221</v>
      </c>
      <c r="C26" s="56"/>
      <c r="D26" s="67"/>
    </row>
    <row r="27" spans="1:4" s="62" customFormat="1" ht="12" customHeight="1">
      <c r="A27" s="59" t="s">
        <v>222</v>
      </c>
      <c r="B27" s="60" t="s">
        <v>223</v>
      </c>
      <c r="C27" s="56">
        <f>Önkormányzat!AV146</f>
        <v>6181639</v>
      </c>
      <c r="D27" s="61"/>
    </row>
    <row r="28" spans="1:4" s="62" customFormat="1" ht="12" customHeight="1" thickBot="1">
      <c r="A28" s="63" t="s">
        <v>224</v>
      </c>
      <c r="B28" s="64" t="s">
        <v>225</v>
      </c>
      <c r="C28" s="56"/>
      <c r="D28" s="68"/>
    </row>
    <row r="29" spans="1:4" s="62" customFormat="1" ht="12" customHeight="1" thickBot="1">
      <c r="A29" s="50" t="s">
        <v>226</v>
      </c>
      <c r="B29" s="51" t="s">
        <v>227</v>
      </c>
      <c r="C29" s="69">
        <f>+C30+C36</f>
        <v>18830000</v>
      </c>
      <c r="D29" s="70">
        <f>+D30+D34+D35+D36</f>
        <v>0</v>
      </c>
    </row>
    <row r="30" spans="1:4" s="62" customFormat="1" ht="12" customHeight="1">
      <c r="A30" s="54" t="s">
        <v>228</v>
      </c>
      <c r="B30" s="55" t="s">
        <v>552</v>
      </c>
      <c r="C30" s="71">
        <f>SUM(C31:C35)</f>
        <v>18700000</v>
      </c>
      <c r="D30" s="72"/>
    </row>
    <row r="31" spans="1:4" s="62" customFormat="1" ht="12" customHeight="1">
      <c r="A31" s="59" t="s">
        <v>229</v>
      </c>
      <c r="B31" s="452" t="s">
        <v>599</v>
      </c>
      <c r="C31" s="56"/>
      <c r="D31" s="72"/>
    </row>
    <row r="32" spans="1:4" s="62" customFormat="1" ht="12" customHeight="1">
      <c r="A32" s="59" t="s">
        <v>231</v>
      </c>
      <c r="B32" s="60" t="s">
        <v>230</v>
      </c>
      <c r="C32" s="56">
        <f>Önkormányzat!AV151</f>
        <v>3700000</v>
      </c>
      <c r="D32" s="61"/>
    </row>
    <row r="33" spans="1:4" s="62" customFormat="1" ht="12" customHeight="1">
      <c r="A33" s="59" t="s">
        <v>549</v>
      </c>
      <c r="B33" s="452" t="s">
        <v>550</v>
      </c>
      <c r="C33" s="56">
        <f>Önkormányzat!AV154</f>
        <v>10500000</v>
      </c>
      <c r="D33" s="61"/>
    </row>
    <row r="34" spans="1:4" s="62" customFormat="1" ht="12" customHeight="1">
      <c r="A34" s="59" t="s">
        <v>551</v>
      </c>
      <c r="B34" s="452" t="s">
        <v>548</v>
      </c>
      <c r="C34" s="56">
        <f>Önkormányzat!AV157</f>
        <v>4500000</v>
      </c>
      <c r="D34" s="61"/>
    </row>
    <row r="35" spans="1:4" s="62" customFormat="1" ht="12" customHeight="1">
      <c r="A35" s="59" t="s">
        <v>597</v>
      </c>
      <c r="B35" s="452" t="s">
        <v>598</v>
      </c>
      <c r="C35" s="56"/>
      <c r="D35" s="61"/>
    </row>
    <row r="36" spans="1:4" s="62" customFormat="1" ht="12" customHeight="1" thickBot="1">
      <c r="A36" s="63" t="s">
        <v>232</v>
      </c>
      <c r="B36" s="64" t="s">
        <v>6</v>
      </c>
      <c r="C36" s="56">
        <f>Önkormányzat!AV166</f>
        <v>130000</v>
      </c>
      <c r="D36" s="73"/>
    </row>
    <row r="37" spans="1:4" s="62" customFormat="1" ht="12" customHeight="1" thickBot="1">
      <c r="A37" s="50" t="s">
        <v>233</v>
      </c>
      <c r="B37" s="51" t="s">
        <v>234</v>
      </c>
      <c r="C37" s="52">
        <f>SUM(C38:C47)</f>
        <v>5204692.8</v>
      </c>
      <c r="D37" s="53">
        <f>SUM(D38:D47)</f>
        <v>0</v>
      </c>
    </row>
    <row r="38" spans="1:4" s="62" customFormat="1" ht="12" customHeight="1">
      <c r="A38" s="54" t="s">
        <v>235</v>
      </c>
      <c r="B38" s="55" t="s">
        <v>236</v>
      </c>
      <c r="C38" s="56"/>
      <c r="D38" s="67"/>
    </row>
    <row r="39" spans="1:4" s="62" customFormat="1" ht="12" customHeight="1">
      <c r="A39" s="59" t="s">
        <v>237</v>
      </c>
      <c r="B39" s="60" t="s">
        <v>238</v>
      </c>
      <c r="C39" s="56">
        <f>Önkormányzat!AV168</f>
        <v>1825760</v>
      </c>
      <c r="D39" s="67"/>
    </row>
    <row r="40" spans="1:4" s="62" customFormat="1" ht="12" customHeight="1">
      <c r="A40" s="59" t="s">
        <v>239</v>
      </c>
      <c r="B40" s="60" t="s">
        <v>240</v>
      </c>
      <c r="C40" s="56">
        <f>Önkormányzat!AV169</f>
        <v>228000</v>
      </c>
      <c r="D40" s="67"/>
    </row>
    <row r="41" spans="1:4" s="62" customFormat="1" ht="12" customHeight="1">
      <c r="A41" s="59" t="s">
        <v>241</v>
      </c>
      <c r="B41" s="60" t="s">
        <v>242</v>
      </c>
      <c r="C41" s="56">
        <f>Önkormányzat!AV171</f>
        <v>300000</v>
      </c>
      <c r="D41" s="67"/>
    </row>
    <row r="42" spans="1:4" s="62" customFormat="1" ht="12" customHeight="1">
      <c r="A42" s="59" t="s">
        <v>243</v>
      </c>
      <c r="B42" s="60" t="s">
        <v>244</v>
      </c>
      <c r="C42" s="56">
        <f>Önkormányzat!AV172</f>
        <v>0</v>
      </c>
      <c r="D42" s="67"/>
    </row>
    <row r="43" spans="1:4" s="62" customFormat="1" ht="12" customHeight="1">
      <c r="A43" s="59" t="s">
        <v>245</v>
      </c>
      <c r="B43" s="60" t="s">
        <v>246</v>
      </c>
      <c r="C43" s="56">
        <f>Önkormányzat!AV173</f>
        <v>2750932.8</v>
      </c>
      <c r="D43" s="67"/>
    </row>
    <row r="44" spans="1:4" s="62" customFormat="1" ht="12" customHeight="1">
      <c r="A44" s="59" t="s">
        <v>247</v>
      </c>
      <c r="B44" s="60" t="s">
        <v>248</v>
      </c>
      <c r="C44" s="56"/>
      <c r="D44" s="67"/>
    </row>
    <row r="45" spans="1:4" s="62" customFormat="1" ht="12" customHeight="1">
      <c r="A45" s="59" t="s">
        <v>249</v>
      </c>
      <c r="B45" s="60" t="s">
        <v>250</v>
      </c>
      <c r="C45" s="56">
        <f>Önkormányzat!AV175</f>
        <v>100000</v>
      </c>
      <c r="D45" s="67"/>
    </row>
    <row r="46" spans="1:4" s="62" customFormat="1" ht="12" customHeight="1">
      <c r="A46" s="59" t="s">
        <v>251</v>
      </c>
      <c r="B46" s="60" t="s">
        <v>252</v>
      </c>
      <c r="C46" s="56"/>
      <c r="D46" s="74"/>
    </row>
    <row r="47" spans="1:4" s="62" customFormat="1" ht="12" customHeight="1" thickBot="1">
      <c r="A47" s="63" t="s">
        <v>253</v>
      </c>
      <c r="B47" s="64" t="s">
        <v>254</v>
      </c>
      <c r="C47" s="56"/>
      <c r="D47" s="75"/>
    </row>
    <row r="48" spans="1:4" s="62" customFormat="1" ht="12" customHeight="1" thickBot="1">
      <c r="A48" s="50" t="s">
        <v>255</v>
      </c>
      <c r="B48" s="51" t="s">
        <v>256</v>
      </c>
      <c r="C48" s="52">
        <f>SUM(C49:C53)</f>
        <v>9300000</v>
      </c>
      <c r="D48" s="53">
        <f>SUM(D49:D53)</f>
        <v>0</v>
      </c>
    </row>
    <row r="49" spans="1:4" s="62" customFormat="1" ht="12" customHeight="1">
      <c r="A49" s="54" t="s">
        <v>257</v>
      </c>
      <c r="B49" s="55" t="s">
        <v>258</v>
      </c>
      <c r="C49" s="56"/>
      <c r="D49" s="76"/>
    </row>
    <row r="50" spans="1:4" s="62" customFormat="1" ht="12" customHeight="1">
      <c r="A50" s="59" t="s">
        <v>259</v>
      </c>
      <c r="B50" s="60" t="s">
        <v>260</v>
      </c>
      <c r="C50" s="56">
        <f>Önkormányzat!AV181</f>
        <v>9300000</v>
      </c>
      <c r="D50" s="74"/>
    </row>
    <row r="51" spans="1:4" s="62" customFormat="1" ht="12" customHeight="1">
      <c r="A51" s="59" t="s">
        <v>261</v>
      </c>
      <c r="B51" s="60" t="s">
        <v>262</v>
      </c>
      <c r="C51" s="56"/>
      <c r="D51" s="74"/>
    </row>
    <row r="52" spans="1:4" s="62" customFormat="1" ht="12" customHeight="1">
      <c r="A52" s="59" t="s">
        <v>263</v>
      </c>
      <c r="B52" s="60" t="s">
        <v>264</v>
      </c>
      <c r="C52" s="56"/>
      <c r="D52" s="74"/>
    </row>
    <row r="53" spans="1:4" s="62" customFormat="1" ht="12" customHeight="1" thickBot="1">
      <c r="A53" s="63" t="s">
        <v>265</v>
      </c>
      <c r="B53" s="64" t="s">
        <v>266</v>
      </c>
      <c r="C53" s="56"/>
      <c r="D53" s="75"/>
    </row>
    <row r="54" spans="1:4" s="62" customFormat="1" ht="12" customHeight="1" thickBot="1">
      <c r="A54" s="50" t="s">
        <v>267</v>
      </c>
      <c r="B54" s="51" t="s">
        <v>268</v>
      </c>
      <c r="C54" s="52">
        <f>SUM(C55:C57)</f>
        <v>300000</v>
      </c>
      <c r="D54" s="53">
        <f>SUM(D55:D57)</f>
        <v>0</v>
      </c>
    </row>
    <row r="55" spans="1:4" s="62" customFormat="1" ht="12" customHeight="1">
      <c r="A55" s="54" t="s">
        <v>269</v>
      </c>
      <c r="B55" s="55" t="s">
        <v>270</v>
      </c>
      <c r="C55" s="56"/>
      <c r="D55" s="66"/>
    </row>
    <row r="56" spans="1:4" s="62" customFormat="1" ht="12" customHeight="1">
      <c r="A56" s="59" t="s">
        <v>271</v>
      </c>
      <c r="B56" s="60" t="s">
        <v>272</v>
      </c>
      <c r="C56" s="56"/>
      <c r="D56" s="67"/>
    </row>
    <row r="57" spans="1:4" s="62" customFormat="1" ht="12" customHeight="1">
      <c r="A57" s="59" t="s">
        <v>273</v>
      </c>
      <c r="B57" s="60" t="s">
        <v>274</v>
      </c>
      <c r="C57" s="56">
        <f>Önkormányzat!AV184</f>
        <v>300000</v>
      </c>
      <c r="D57" s="61"/>
    </row>
    <row r="58" spans="1:4" s="62" customFormat="1" ht="12" customHeight="1" thickBot="1">
      <c r="A58" s="63" t="s">
        <v>275</v>
      </c>
      <c r="B58" s="64" t="s">
        <v>276</v>
      </c>
      <c r="C58" s="56"/>
      <c r="D58" s="73"/>
    </row>
    <row r="59" spans="1:4" s="62" customFormat="1" ht="12" customHeight="1" thickBot="1">
      <c r="A59" s="50" t="s">
        <v>277</v>
      </c>
      <c r="B59" s="65" t="s">
        <v>278</v>
      </c>
      <c r="C59" s="52">
        <f>SUM(C60:C62)</f>
        <v>0</v>
      </c>
      <c r="D59" s="77">
        <f>SUM(D60:D62)</f>
        <v>0</v>
      </c>
    </row>
    <row r="60" spans="1:4" s="62" customFormat="1" ht="12" customHeight="1">
      <c r="A60" s="54" t="s">
        <v>279</v>
      </c>
      <c r="B60" s="55" t="s">
        <v>280</v>
      </c>
      <c r="C60" s="56"/>
      <c r="D60" s="61"/>
    </row>
    <row r="61" spans="1:4" s="62" customFormat="1" ht="12" customHeight="1">
      <c r="A61" s="59" t="s">
        <v>281</v>
      </c>
      <c r="B61" s="60" t="s">
        <v>282</v>
      </c>
      <c r="C61" s="56"/>
      <c r="D61" s="67"/>
    </row>
    <row r="62" spans="1:4" s="62" customFormat="1" ht="12" customHeight="1">
      <c r="A62" s="59" t="s">
        <v>283</v>
      </c>
      <c r="B62" s="60" t="s">
        <v>284</v>
      </c>
      <c r="C62" s="56"/>
      <c r="D62" s="67"/>
    </row>
    <row r="63" spans="1:4" s="62" customFormat="1" ht="12" customHeight="1" thickBot="1">
      <c r="A63" s="63" t="s">
        <v>285</v>
      </c>
      <c r="B63" s="64" t="s">
        <v>286</v>
      </c>
      <c r="C63" s="56"/>
      <c r="D63" s="74"/>
    </row>
    <row r="64" spans="1:4" s="62" customFormat="1" ht="12" customHeight="1" thickBot="1">
      <c r="A64" s="50" t="s">
        <v>287</v>
      </c>
      <c r="B64" s="51" t="s">
        <v>288</v>
      </c>
      <c r="C64" s="69">
        <f>+C8+C15+C22+C29+C37+C48+C54+C59</f>
        <v>154901439.95000002</v>
      </c>
      <c r="D64" s="70">
        <f>+D8+D15+D22+D29+D37+D48+D54+D59</f>
        <v>0</v>
      </c>
    </row>
    <row r="65" spans="1:4" s="62" customFormat="1" ht="12" customHeight="1" thickBot="1">
      <c r="A65" s="78" t="s">
        <v>289</v>
      </c>
      <c r="B65" s="65" t="s">
        <v>290</v>
      </c>
      <c r="C65" s="52">
        <f>SUM(C66:C68)</f>
        <v>0</v>
      </c>
      <c r="D65" s="53">
        <f>SUM(D66:D68)</f>
        <v>0</v>
      </c>
    </row>
    <row r="66" spans="1:4" s="62" customFormat="1" ht="12" customHeight="1">
      <c r="A66" s="54" t="s">
        <v>291</v>
      </c>
      <c r="B66" s="55" t="s">
        <v>292</v>
      </c>
      <c r="C66" s="56"/>
      <c r="D66" s="74"/>
    </row>
    <row r="67" spans="1:4" s="62" customFormat="1" ht="12" customHeight="1">
      <c r="A67" s="59" t="s">
        <v>293</v>
      </c>
      <c r="B67" s="60" t="s">
        <v>294</v>
      </c>
      <c r="C67" s="56"/>
      <c r="D67" s="74"/>
    </row>
    <row r="68" spans="1:4" s="62" customFormat="1" ht="12" customHeight="1" thickBot="1">
      <c r="A68" s="63" t="s">
        <v>295</v>
      </c>
      <c r="B68" s="79" t="s">
        <v>296</v>
      </c>
      <c r="C68" s="56"/>
      <c r="D68" s="74"/>
    </row>
    <row r="69" spans="1:4" s="62" customFormat="1" ht="12" customHeight="1" thickBot="1">
      <c r="A69" s="78" t="s">
        <v>297</v>
      </c>
      <c r="B69" s="65" t="s">
        <v>298</v>
      </c>
      <c r="C69" s="52">
        <f>SUM(C70:C73)</f>
        <v>0</v>
      </c>
      <c r="D69" s="53">
        <f>SUM(D70:D73)</f>
        <v>0</v>
      </c>
    </row>
    <row r="70" spans="1:4" s="62" customFormat="1" ht="12" customHeight="1">
      <c r="A70" s="54" t="s">
        <v>299</v>
      </c>
      <c r="B70" s="55" t="s">
        <v>300</v>
      </c>
      <c r="C70" s="56"/>
      <c r="D70" s="74"/>
    </row>
    <row r="71" spans="1:4" s="62" customFormat="1" ht="12" customHeight="1">
      <c r="A71" s="59" t="s">
        <v>301</v>
      </c>
      <c r="B71" s="60" t="s">
        <v>302</v>
      </c>
      <c r="C71" s="56"/>
      <c r="D71" s="74"/>
    </row>
    <row r="72" spans="1:4" s="62" customFormat="1" ht="12" customHeight="1">
      <c r="A72" s="59" t="s">
        <v>303</v>
      </c>
      <c r="B72" s="60" t="s">
        <v>304</v>
      </c>
      <c r="C72" s="56"/>
      <c r="D72" s="74"/>
    </row>
    <row r="73" spans="1:4" s="62" customFormat="1" ht="12" customHeight="1" thickBot="1">
      <c r="A73" s="80" t="s">
        <v>305</v>
      </c>
      <c r="B73" s="81" t="s">
        <v>306</v>
      </c>
      <c r="C73" s="56"/>
      <c r="D73" s="82"/>
    </row>
    <row r="74" spans="1:4" s="62" customFormat="1" ht="12" customHeight="1" thickBot="1">
      <c r="A74" s="78" t="s">
        <v>307</v>
      </c>
      <c r="B74" s="65" t="s">
        <v>308</v>
      </c>
      <c r="C74" s="52">
        <f>SUM(C75:C76)</f>
        <v>82895435</v>
      </c>
      <c r="D74" s="53">
        <f>SUM(D75:D76)</f>
        <v>0</v>
      </c>
    </row>
    <row r="75" spans="1:4" s="62" customFormat="1" ht="12" customHeight="1">
      <c r="A75" s="54" t="s">
        <v>309</v>
      </c>
      <c r="B75" s="55" t="s">
        <v>310</v>
      </c>
      <c r="C75" s="56">
        <f>Önkormányzat!AV190</f>
        <v>82895435</v>
      </c>
      <c r="D75" s="74"/>
    </row>
    <row r="76" spans="1:4" s="62" customFormat="1" ht="12" customHeight="1" thickBot="1">
      <c r="A76" s="63" t="s">
        <v>311</v>
      </c>
      <c r="B76" s="64" t="s">
        <v>312</v>
      </c>
      <c r="C76" s="56"/>
      <c r="D76" s="74"/>
    </row>
    <row r="77" spans="1:4" s="58" customFormat="1" ht="12" customHeight="1" thickBot="1">
      <c r="A77" s="78" t="s">
        <v>313</v>
      </c>
      <c r="B77" s="65" t="s">
        <v>314</v>
      </c>
      <c r="C77" s="52">
        <f>SUM(C78:C80)</f>
        <v>0</v>
      </c>
      <c r="D77" s="53">
        <f>SUM(D78:D80)</f>
        <v>0</v>
      </c>
    </row>
    <row r="78" spans="1:4" s="62" customFormat="1" ht="12" customHeight="1">
      <c r="A78" s="54" t="s">
        <v>315</v>
      </c>
      <c r="B78" s="55" t="s">
        <v>316</v>
      </c>
      <c r="C78" s="56"/>
      <c r="D78" s="74"/>
    </row>
    <row r="79" spans="1:4" s="62" customFormat="1" ht="12" customHeight="1">
      <c r="A79" s="59" t="s">
        <v>317</v>
      </c>
      <c r="B79" s="60" t="s">
        <v>318</v>
      </c>
      <c r="C79" s="56"/>
      <c r="D79" s="74"/>
    </row>
    <row r="80" spans="1:4" s="62" customFormat="1" ht="12" customHeight="1" thickBot="1">
      <c r="A80" s="63" t="s">
        <v>319</v>
      </c>
      <c r="B80" s="64" t="s">
        <v>320</v>
      </c>
      <c r="C80" s="56"/>
      <c r="D80" s="74"/>
    </row>
    <row r="81" spans="1:4" s="62" customFormat="1" ht="12" customHeight="1" thickBot="1">
      <c r="A81" s="78" t="s">
        <v>321</v>
      </c>
      <c r="B81" s="65" t="s">
        <v>322</v>
      </c>
      <c r="C81" s="52">
        <f>SUM(C82:C85)</f>
        <v>0</v>
      </c>
      <c r="D81" s="53">
        <f>SUM(D82:D85)</f>
        <v>0</v>
      </c>
    </row>
    <row r="82" spans="1:4" s="62" customFormat="1" ht="12" customHeight="1">
      <c r="A82" s="83" t="s">
        <v>323</v>
      </c>
      <c r="B82" s="55" t="s">
        <v>324</v>
      </c>
      <c r="C82" s="56"/>
      <c r="D82" s="74"/>
    </row>
    <row r="83" spans="1:4" s="62" customFormat="1" ht="12" customHeight="1">
      <c r="A83" s="84" t="s">
        <v>325</v>
      </c>
      <c r="B83" s="60" t="s">
        <v>326</v>
      </c>
      <c r="C83" s="56"/>
      <c r="D83" s="74"/>
    </row>
    <row r="84" spans="1:4" s="62" customFormat="1" ht="12" customHeight="1">
      <c r="A84" s="84" t="s">
        <v>327</v>
      </c>
      <c r="B84" s="60" t="s">
        <v>328</v>
      </c>
      <c r="C84" s="56"/>
      <c r="D84" s="74"/>
    </row>
    <row r="85" spans="1:4" s="58" customFormat="1" ht="12" customHeight="1" thickBot="1">
      <c r="A85" s="85" t="s">
        <v>329</v>
      </c>
      <c r="B85" s="64" t="s">
        <v>330</v>
      </c>
      <c r="C85" s="56"/>
      <c r="D85" s="74"/>
    </row>
    <row r="86" spans="1:4" s="58" customFormat="1" ht="12" customHeight="1" thickBot="1">
      <c r="A86" s="78" t="s">
        <v>331</v>
      </c>
      <c r="B86" s="65" t="s">
        <v>332</v>
      </c>
      <c r="C86" s="86"/>
      <c r="D86" s="87"/>
    </row>
    <row r="87" spans="1:4" s="58" customFormat="1" ht="12" customHeight="1" thickBot="1">
      <c r="A87" s="78" t="s">
        <v>333</v>
      </c>
      <c r="B87" s="88" t="s">
        <v>334</v>
      </c>
      <c r="C87" s="69">
        <f>+C65+C69+C74+C77+C81+C86</f>
        <v>82895435</v>
      </c>
      <c r="D87" s="70">
        <f>+D65+D69+D74+D77+D81+D86</f>
        <v>0</v>
      </c>
    </row>
    <row r="88" spans="1:4" s="58" customFormat="1" ht="12" customHeight="1" thickBot="1">
      <c r="A88" s="89" t="s">
        <v>335</v>
      </c>
      <c r="B88" s="90" t="s">
        <v>336</v>
      </c>
      <c r="C88" s="69">
        <f>+C64+C87</f>
        <v>237796874.95000002</v>
      </c>
      <c r="D88" s="70">
        <f>+D64+D87</f>
        <v>0</v>
      </c>
    </row>
    <row r="89" spans="1:4" s="62" customFormat="1" ht="15" customHeight="1">
      <c r="A89" s="91"/>
      <c r="B89" s="92"/>
      <c r="C89" s="93"/>
      <c r="D89" s="93"/>
    </row>
    <row r="90" spans="1:4" ht="13.5" thickBot="1">
      <c r="A90" s="94"/>
      <c r="B90" s="95"/>
      <c r="C90" s="96"/>
      <c r="D90" s="96"/>
    </row>
    <row r="91" spans="1:4" s="49" customFormat="1" ht="16.5" customHeight="1" thickBot="1">
      <c r="A91" s="1793" t="s">
        <v>337</v>
      </c>
      <c r="B91" s="1794"/>
      <c r="C91" s="1794"/>
      <c r="D91" s="1795"/>
    </row>
    <row r="92" spans="1:4" s="101" customFormat="1" ht="12" customHeight="1" thickBot="1">
      <c r="A92" s="97" t="s">
        <v>184</v>
      </c>
      <c r="B92" s="98" t="s">
        <v>338</v>
      </c>
      <c r="C92" s="99">
        <f>SUM(C93:C97)</f>
        <v>84236669.199999988</v>
      </c>
      <c r="D92" s="100">
        <f>SUM(D93:D97)</f>
        <v>0</v>
      </c>
    </row>
    <row r="93" spans="1:4" ht="12" customHeight="1">
      <c r="A93" s="102" t="s">
        <v>186</v>
      </c>
      <c r="B93" s="103" t="s">
        <v>339</v>
      </c>
      <c r="C93" s="453">
        <f>Önkormányzat!AV18</f>
        <v>27239878</v>
      </c>
      <c r="D93" s="104"/>
    </row>
    <row r="94" spans="1:4" ht="12" customHeight="1">
      <c r="A94" s="59" t="s">
        <v>188</v>
      </c>
      <c r="B94" s="105" t="s">
        <v>1</v>
      </c>
      <c r="C94" s="454">
        <f>Önkormányzat!AV26</f>
        <v>4713511.1500000004</v>
      </c>
      <c r="D94" s="67"/>
    </row>
    <row r="95" spans="1:4" ht="12" customHeight="1">
      <c r="A95" s="59" t="s">
        <v>190</v>
      </c>
      <c r="B95" s="105" t="s">
        <v>340</v>
      </c>
      <c r="C95" s="454">
        <f>Önkormányzat!AV82</f>
        <v>44668980.049999997</v>
      </c>
      <c r="D95" s="68"/>
    </row>
    <row r="96" spans="1:4" ht="12" customHeight="1">
      <c r="A96" s="59" t="s">
        <v>192</v>
      </c>
      <c r="B96" s="106" t="s">
        <v>7</v>
      </c>
      <c r="C96" s="454">
        <f>Önkormányzat!AV97</f>
        <v>2850000</v>
      </c>
      <c r="D96" s="68"/>
    </row>
    <row r="97" spans="1:4" ht="12" customHeight="1">
      <c r="A97" s="59" t="s">
        <v>341</v>
      </c>
      <c r="B97" s="107" t="s">
        <v>11</v>
      </c>
      <c r="C97" s="454">
        <f>SUM(C98:C107)</f>
        <v>4764300</v>
      </c>
      <c r="D97" s="68">
        <f>SUM(D98:D107)</f>
        <v>0</v>
      </c>
    </row>
    <row r="98" spans="1:4" ht="12" customHeight="1">
      <c r="A98" s="59" t="s">
        <v>196</v>
      </c>
      <c r="B98" s="105" t="s">
        <v>342</v>
      </c>
      <c r="C98" s="454"/>
      <c r="D98" s="68"/>
    </row>
    <row r="99" spans="1:4" ht="12" customHeight="1">
      <c r="A99" s="59" t="s">
        <v>343</v>
      </c>
      <c r="B99" s="108" t="s">
        <v>344</v>
      </c>
      <c r="C99" s="454"/>
      <c r="D99" s="68"/>
    </row>
    <row r="100" spans="1:4" ht="12" customHeight="1">
      <c r="A100" s="59" t="s">
        <v>345</v>
      </c>
      <c r="B100" s="109" t="s">
        <v>346</v>
      </c>
      <c r="C100" s="454"/>
      <c r="D100" s="68"/>
    </row>
    <row r="101" spans="1:4" ht="20.25" customHeight="1">
      <c r="A101" s="59" t="s">
        <v>347</v>
      </c>
      <c r="B101" s="109" t="s">
        <v>348</v>
      </c>
      <c r="C101" s="454"/>
      <c r="D101" s="68"/>
    </row>
    <row r="102" spans="1:4" ht="12" customHeight="1">
      <c r="A102" s="59" t="s">
        <v>349</v>
      </c>
      <c r="B102" s="108" t="s">
        <v>350</v>
      </c>
      <c r="C102" s="454">
        <f>Önkormányzat!AV104</f>
        <v>2172300</v>
      </c>
      <c r="D102" s="68"/>
    </row>
    <row r="103" spans="1:4" ht="12" customHeight="1">
      <c r="A103" s="59" t="s">
        <v>351</v>
      </c>
      <c r="B103" s="108" t="s">
        <v>352</v>
      </c>
      <c r="C103" s="454"/>
      <c r="D103" s="68"/>
    </row>
    <row r="104" spans="1:4" ht="12" customHeight="1">
      <c r="A104" s="59" t="s">
        <v>353</v>
      </c>
      <c r="B104" s="109" t="s">
        <v>354</v>
      </c>
      <c r="C104" s="454"/>
      <c r="D104" s="68"/>
    </row>
    <row r="105" spans="1:4" ht="12" customHeight="1">
      <c r="A105" s="110" t="s">
        <v>355</v>
      </c>
      <c r="B105" s="111" t="s">
        <v>356</v>
      </c>
      <c r="C105" s="454"/>
      <c r="D105" s="68"/>
    </row>
    <row r="106" spans="1:4" ht="12" customHeight="1">
      <c r="A106" s="59" t="s">
        <v>357</v>
      </c>
      <c r="B106" s="111" t="s">
        <v>358</v>
      </c>
      <c r="C106" s="454"/>
      <c r="D106" s="68"/>
    </row>
    <row r="107" spans="1:4" ht="12" customHeight="1" thickBot="1">
      <c r="A107" s="80" t="s">
        <v>359</v>
      </c>
      <c r="B107" s="112" t="s">
        <v>360</v>
      </c>
      <c r="C107" s="596">
        <f>Önkormányzat!AV105</f>
        <v>2592000</v>
      </c>
      <c r="D107" s="113"/>
    </row>
    <row r="108" spans="1:4" ht="12" customHeight="1" thickBot="1">
      <c r="A108" s="50" t="s">
        <v>198</v>
      </c>
      <c r="B108" s="114" t="s">
        <v>361</v>
      </c>
      <c r="C108" s="52">
        <f>+C109+C111+C113</f>
        <v>90750940.289999992</v>
      </c>
      <c r="D108" s="53">
        <f>+D109+D111+D113</f>
        <v>0</v>
      </c>
    </row>
    <row r="109" spans="1:4" ht="12" customHeight="1">
      <c r="A109" s="54" t="s">
        <v>200</v>
      </c>
      <c r="B109" s="105" t="s">
        <v>3</v>
      </c>
      <c r="C109" s="453">
        <f>Önkormányzat!AV113</f>
        <v>26524000</v>
      </c>
      <c r="D109" s="66"/>
    </row>
    <row r="110" spans="1:4" ht="12" customHeight="1">
      <c r="A110" s="54" t="s">
        <v>202</v>
      </c>
      <c r="B110" s="115" t="s">
        <v>362</v>
      </c>
      <c r="C110" s="454"/>
      <c r="D110" s="66"/>
    </row>
    <row r="111" spans="1:4" ht="12" customHeight="1">
      <c r="A111" s="54" t="s">
        <v>204</v>
      </c>
      <c r="B111" s="115" t="s">
        <v>8</v>
      </c>
      <c r="C111" s="454">
        <f>Önkormányzat!AV118</f>
        <v>63476940.289999999</v>
      </c>
      <c r="D111" s="67"/>
    </row>
    <row r="112" spans="1:4" ht="12" customHeight="1">
      <c r="A112" s="54" t="s">
        <v>206</v>
      </c>
      <c r="B112" s="115" t="s">
        <v>363</v>
      </c>
      <c r="C112" s="454"/>
      <c r="D112" s="67"/>
    </row>
    <row r="113" spans="1:4" ht="12" customHeight="1">
      <c r="A113" s="54" t="s">
        <v>208</v>
      </c>
      <c r="B113" s="116" t="s">
        <v>364</v>
      </c>
      <c r="C113" s="454">
        <f>SUM(C114:C121)</f>
        <v>750000</v>
      </c>
      <c r="D113" s="67">
        <f>SUM(D114:D121)</f>
        <v>0</v>
      </c>
    </row>
    <row r="114" spans="1:4" ht="12" customHeight="1">
      <c r="A114" s="54" t="s">
        <v>210</v>
      </c>
      <c r="B114" s="117" t="s">
        <v>365</v>
      </c>
      <c r="C114" s="454"/>
      <c r="D114" s="67"/>
    </row>
    <row r="115" spans="1:4" ht="12" customHeight="1">
      <c r="A115" s="54" t="s">
        <v>366</v>
      </c>
      <c r="B115" s="118" t="s">
        <v>367</v>
      </c>
      <c r="C115" s="454"/>
      <c r="D115" s="67"/>
    </row>
    <row r="116" spans="1:4" ht="26.25" customHeight="1">
      <c r="A116" s="54" t="s">
        <v>368</v>
      </c>
      <c r="B116" s="109" t="s">
        <v>348</v>
      </c>
      <c r="C116" s="454"/>
      <c r="D116" s="67"/>
    </row>
    <row r="117" spans="1:4" ht="12" customHeight="1">
      <c r="A117" s="54" t="s">
        <v>369</v>
      </c>
      <c r="B117" s="109" t="s">
        <v>370</v>
      </c>
      <c r="C117" s="454"/>
      <c r="D117" s="67"/>
    </row>
    <row r="118" spans="1:4" ht="12" customHeight="1">
      <c r="A118" s="54" t="s">
        <v>371</v>
      </c>
      <c r="B118" s="109" t="s">
        <v>372</v>
      </c>
      <c r="C118" s="454"/>
      <c r="D118" s="67"/>
    </row>
    <row r="119" spans="1:4" ht="12" customHeight="1">
      <c r="A119" s="54" t="s">
        <v>373</v>
      </c>
      <c r="B119" s="109" t="s">
        <v>354</v>
      </c>
      <c r="C119" s="454"/>
      <c r="D119" s="67"/>
    </row>
    <row r="120" spans="1:4" ht="12" customHeight="1">
      <c r="A120" s="54" t="s">
        <v>374</v>
      </c>
      <c r="B120" s="109" t="s">
        <v>375</v>
      </c>
      <c r="C120" s="454">
        <f>Önkormányzat!AV119</f>
        <v>750000</v>
      </c>
      <c r="D120" s="67"/>
    </row>
    <row r="121" spans="1:4" ht="12" customHeight="1" thickBot="1">
      <c r="A121" s="110" t="s">
        <v>376</v>
      </c>
      <c r="B121" s="109" t="s">
        <v>377</v>
      </c>
      <c r="C121" s="596"/>
      <c r="D121" s="68"/>
    </row>
    <row r="122" spans="1:4" ht="12" customHeight="1" thickBot="1">
      <c r="A122" s="50" t="s">
        <v>212</v>
      </c>
      <c r="B122" s="119" t="s">
        <v>378</v>
      </c>
      <c r="C122" s="52">
        <f>+C123+C124</f>
        <v>7762552</v>
      </c>
      <c r="D122" s="53">
        <f>+D123+D124</f>
        <v>0</v>
      </c>
    </row>
    <row r="123" spans="1:4" ht="12" customHeight="1">
      <c r="A123" s="54" t="s">
        <v>214</v>
      </c>
      <c r="B123" s="120" t="s">
        <v>379</v>
      </c>
      <c r="C123" s="455">
        <f>Önkormányzat!AV106-4072552</f>
        <v>3690000</v>
      </c>
      <c r="D123" s="66"/>
    </row>
    <row r="124" spans="1:4" ht="12" customHeight="1" thickBot="1">
      <c r="A124" s="63" t="s">
        <v>216</v>
      </c>
      <c r="B124" s="115" t="s">
        <v>380</v>
      </c>
      <c r="C124" s="596">
        <v>4072552</v>
      </c>
      <c r="D124" s="68"/>
    </row>
    <row r="125" spans="1:4" ht="12" customHeight="1" thickBot="1">
      <c r="A125" s="50" t="s">
        <v>381</v>
      </c>
      <c r="B125" s="119" t="s">
        <v>382</v>
      </c>
      <c r="C125" s="52">
        <f>+C92+C108+C122</f>
        <v>182750161.48999998</v>
      </c>
      <c r="D125" s="53">
        <f>+D92+D108+D122</f>
        <v>0</v>
      </c>
    </row>
    <row r="126" spans="1:4" ht="12" customHeight="1" thickBot="1">
      <c r="A126" s="50" t="s">
        <v>233</v>
      </c>
      <c r="B126" s="119" t="s">
        <v>383</v>
      </c>
      <c r="C126" s="52">
        <f>+C127+C128+C129</f>
        <v>600000</v>
      </c>
      <c r="D126" s="53">
        <f>+D127+D128+D129</f>
        <v>0</v>
      </c>
    </row>
    <row r="127" spans="1:4" s="101" customFormat="1" ht="12" customHeight="1">
      <c r="A127" s="54" t="s">
        <v>235</v>
      </c>
      <c r="B127" s="120" t="s">
        <v>384</v>
      </c>
      <c r="C127" s="453">
        <f>Önkormányzat!AV122</f>
        <v>600000</v>
      </c>
      <c r="D127" s="67"/>
    </row>
    <row r="128" spans="1:4" ht="12" customHeight="1">
      <c r="A128" s="54" t="s">
        <v>237</v>
      </c>
      <c r="B128" s="120" t="s">
        <v>385</v>
      </c>
      <c r="C128" s="454"/>
      <c r="D128" s="67"/>
    </row>
    <row r="129" spans="1:11" ht="12" customHeight="1" thickBot="1">
      <c r="A129" s="110" t="s">
        <v>239</v>
      </c>
      <c r="B129" s="121" t="s">
        <v>386</v>
      </c>
      <c r="C129" s="596"/>
      <c r="D129" s="67"/>
    </row>
    <row r="130" spans="1:11" ht="12" customHeight="1" thickBot="1">
      <c r="A130" s="50" t="s">
        <v>255</v>
      </c>
      <c r="B130" s="119" t="s">
        <v>387</v>
      </c>
      <c r="C130" s="52">
        <f>+C131+C132+C133+C134</f>
        <v>0</v>
      </c>
      <c r="D130" s="53">
        <f>+D131+D132+D133+D134</f>
        <v>0</v>
      </c>
    </row>
    <row r="131" spans="1:11" ht="12" customHeight="1">
      <c r="A131" s="54" t="s">
        <v>257</v>
      </c>
      <c r="B131" s="120" t="s">
        <v>388</v>
      </c>
      <c r="C131" s="454"/>
      <c r="D131" s="67"/>
    </row>
    <row r="132" spans="1:11" ht="12" customHeight="1">
      <c r="A132" s="54" t="s">
        <v>259</v>
      </c>
      <c r="B132" s="120" t="s">
        <v>389</v>
      </c>
      <c r="C132" s="454"/>
      <c r="D132" s="67"/>
    </row>
    <row r="133" spans="1:11" ht="12" customHeight="1">
      <c r="A133" s="54" t="s">
        <v>261</v>
      </c>
      <c r="B133" s="120" t="s">
        <v>390</v>
      </c>
      <c r="C133" s="454"/>
      <c r="D133" s="67"/>
    </row>
    <row r="134" spans="1:11" s="101" customFormat="1" ht="12" customHeight="1" thickBot="1">
      <c r="A134" s="110" t="s">
        <v>263</v>
      </c>
      <c r="B134" s="121" t="s">
        <v>391</v>
      </c>
      <c r="C134" s="454"/>
      <c r="D134" s="67"/>
    </row>
    <row r="135" spans="1:11" ht="12" customHeight="1" thickBot="1">
      <c r="A135" s="50" t="s">
        <v>392</v>
      </c>
      <c r="B135" s="119" t="s">
        <v>393</v>
      </c>
      <c r="C135" s="69">
        <f>+C136+C137+C138+C139</f>
        <v>54446714</v>
      </c>
      <c r="D135" s="70">
        <f>+D136+D137+D138+D139</f>
        <v>0</v>
      </c>
      <c r="K135" s="122"/>
    </row>
    <row r="136" spans="1:11">
      <c r="A136" s="54" t="s">
        <v>269</v>
      </c>
      <c r="B136" s="120" t="s">
        <v>394</v>
      </c>
      <c r="C136" s="1887">
        <f>Önkormányzat!AV125</f>
        <v>50853063</v>
      </c>
      <c r="D136" s="67"/>
    </row>
    <row r="137" spans="1:11" ht="12" customHeight="1">
      <c r="A137" s="54" t="s">
        <v>271</v>
      </c>
      <c r="B137" s="120" t="s">
        <v>395</v>
      </c>
      <c r="C137" s="454">
        <f>Önkormányzat!AV124</f>
        <v>3593651</v>
      </c>
      <c r="D137" s="67"/>
    </row>
    <row r="138" spans="1:11" s="101" customFormat="1" ht="12" customHeight="1">
      <c r="A138" s="54" t="s">
        <v>273</v>
      </c>
      <c r="B138" s="120" t="s">
        <v>396</v>
      </c>
      <c r="C138" s="454"/>
      <c r="D138" s="67"/>
    </row>
    <row r="139" spans="1:11" s="101" customFormat="1" ht="12" customHeight="1" thickBot="1">
      <c r="A139" s="110" t="s">
        <v>275</v>
      </c>
      <c r="B139" s="121" t="s">
        <v>397</v>
      </c>
      <c r="C139" s="454"/>
      <c r="D139" s="67"/>
    </row>
    <row r="140" spans="1:11" s="101" customFormat="1" ht="12" customHeight="1" thickBot="1">
      <c r="A140" s="50" t="s">
        <v>277</v>
      </c>
      <c r="B140" s="119" t="s">
        <v>398</v>
      </c>
      <c r="C140" s="123">
        <f>+C141+C142+C143+C144</f>
        <v>0</v>
      </c>
      <c r="D140" s="124">
        <f>+D141+D142+D143+D144</f>
        <v>0</v>
      </c>
    </row>
    <row r="141" spans="1:11" s="101" customFormat="1" ht="12" customHeight="1">
      <c r="A141" s="54" t="s">
        <v>279</v>
      </c>
      <c r="B141" s="120" t="s">
        <v>399</v>
      </c>
      <c r="C141" s="454"/>
      <c r="D141" s="67"/>
    </row>
    <row r="142" spans="1:11" s="101" customFormat="1" ht="12" customHeight="1">
      <c r="A142" s="54" t="s">
        <v>281</v>
      </c>
      <c r="B142" s="120" t="s">
        <v>400</v>
      </c>
      <c r="C142" s="454"/>
      <c r="D142" s="67"/>
    </row>
    <row r="143" spans="1:11" s="101" customFormat="1" ht="12" customHeight="1">
      <c r="A143" s="54" t="s">
        <v>283</v>
      </c>
      <c r="B143" s="120" t="s">
        <v>401</v>
      </c>
      <c r="C143" s="454"/>
      <c r="D143" s="67"/>
    </row>
    <row r="144" spans="1:11" ht="12.75" customHeight="1" thickBot="1">
      <c r="A144" s="54" t="s">
        <v>285</v>
      </c>
      <c r="B144" s="120" t="s">
        <v>402</v>
      </c>
      <c r="C144" s="454"/>
      <c r="D144" s="67"/>
    </row>
    <row r="145" spans="1:5" ht="12" customHeight="1" thickBot="1">
      <c r="A145" s="50" t="s">
        <v>287</v>
      </c>
      <c r="B145" s="119" t="s">
        <v>403</v>
      </c>
      <c r="C145" s="125">
        <f>+C126+C130+C135+C140</f>
        <v>55046714</v>
      </c>
      <c r="D145" s="126">
        <f>+D126+D130+D135+D140</f>
        <v>0</v>
      </c>
    </row>
    <row r="146" spans="1:5" ht="15" customHeight="1" thickBot="1">
      <c r="A146" s="127" t="s">
        <v>404</v>
      </c>
      <c r="B146" s="128" t="s">
        <v>405</v>
      </c>
      <c r="C146" s="125">
        <f>+C125+C145</f>
        <v>237796875.48999998</v>
      </c>
      <c r="D146" s="126">
        <f>+D125+D145</f>
        <v>0</v>
      </c>
    </row>
    <row r="148" spans="1:5" s="130" customFormat="1" ht="15.75">
      <c r="A148" s="1807" t="s">
        <v>406</v>
      </c>
      <c r="B148" s="1807"/>
      <c r="C148" s="1807"/>
      <c r="D148" s="129"/>
      <c r="E148" s="129"/>
    </row>
    <row r="149" spans="1:5" s="130" customFormat="1" ht="15" customHeight="1" thickBot="1">
      <c r="A149" s="1808"/>
      <c r="B149" s="1808"/>
      <c r="C149" s="1809" t="s">
        <v>647</v>
      </c>
      <c r="D149" s="1809"/>
      <c r="E149" s="129"/>
    </row>
    <row r="150" spans="1:5" s="130" customFormat="1" ht="24.95" customHeight="1" thickBot="1">
      <c r="A150" s="131">
        <v>1</v>
      </c>
      <c r="B150" s="132" t="s">
        <v>407</v>
      </c>
      <c r="C150" s="133">
        <f>C64-C125</f>
        <v>-27848721.539999962</v>
      </c>
      <c r="D150" s="77">
        <f>D64-D125</f>
        <v>0</v>
      </c>
      <c r="E150" s="134">
        <f>+E63-E125</f>
        <v>0</v>
      </c>
    </row>
    <row r="151" spans="1:5" s="130" customFormat="1" ht="27.75" customHeight="1" thickBot="1">
      <c r="A151" s="131" t="s">
        <v>198</v>
      </c>
      <c r="B151" s="132" t="s">
        <v>408</v>
      </c>
      <c r="C151" s="133">
        <f>C87-C145</f>
        <v>27848721</v>
      </c>
      <c r="D151" s="77">
        <f>D87-D145</f>
        <v>0</v>
      </c>
      <c r="E151" s="134">
        <f>+E86-E145</f>
        <v>0</v>
      </c>
    </row>
    <row r="152" spans="1:5" ht="13.5" thickBot="1"/>
    <row r="153" spans="1:5" ht="25.15" customHeight="1">
      <c r="A153" s="1803" t="s">
        <v>654</v>
      </c>
      <c r="B153" s="1804"/>
      <c r="C153" s="1015">
        <v>6</v>
      </c>
      <c r="D153" s="1016"/>
    </row>
    <row r="154" spans="1:5" ht="25.15" customHeight="1" thickBot="1">
      <c r="A154" s="1805" t="s">
        <v>655</v>
      </c>
      <c r="B154" s="1806"/>
      <c r="C154" s="1017">
        <v>6</v>
      </c>
      <c r="D154" s="1018"/>
    </row>
  </sheetData>
  <sheetProtection selectLockedCells="1" selectUnlockedCells="1"/>
  <mergeCells count="11">
    <mergeCell ref="A148:C148"/>
    <mergeCell ref="A149:B149"/>
    <mergeCell ref="C149:D149"/>
    <mergeCell ref="A153:B153"/>
    <mergeCell ref="A154:B154"/>
    <mergeCell ref="A91:D91"/>
    <mergeCell ref="A1:D1"/>
    <mergeCell ref="C2:D2"/>
    <mergeCell ref="C3:D3"/>
    <mergeCell ref="C4:D4"/>
    <mergeCell ref="A7:D7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r:id="rId1"/>
  <headerFooter alignWithMargins="0"/>
  <rowBreaks count="3" manualBreakCount="3">
    <brk id="69" max="3" man="1"/>
    <brk id="88" max="16383" man="1"/>
    <brk id="151" max="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K154"/>
  <sheetViews>
    <sheetView view="pageBreakPreview" topLeftCell="A112" zoomScaleNormal="100" zoomScaleSheetLayoutView="100" workbookViewId="0">
      <selection activeCell="G98" sqref="G98"/>
    </sheetView>
  </sheetViews>
  <sheetFormatPr defaultColWidth="9.140625" defaultRowHeight="12.75"/>
  <cols>
    <col min="1" max="1" width="16.7109375" style="135" customWidth="1"/>
    <col min="2" max="2" width="52.5703125" style="136" customWidth="1"/>
    <col min="3" max="3" width="11" style="137" customWidth="1"/>
    <col min="4" max="4" width="13.42578125" style="137" customWidth="1"/>
    <col min="5" max="16384" width="9.140625" style="44"/>
  </cols>
  <sheetData>
    <row r="1" spans="1:4" s="31" customFormat="1" ht="16.5" customHeight="1" thickBot="1">
      <c r="A1" s="1796" t="s">
        <v>811</v>
      </c>
      <c r="B1" s="1796"/>
      <c r="C1" s="1796"/>
      <c r="D1" s="1796"/>
    </row>
    <row r="2" spans="1:4" s="34" customFormat="1" ht="21" customHeight="1">
      <c r="A2" s="32" t="s">
        <v>176</v>
      </c>
      <c r="B2" s="33" t="s">
        <v>177</v>
      </c>
      <c r="C2" s="1797" t="s">
        <v>178</v>
      </c>
      <c r="D2" s="1798"/>
    </row>
    <row r="3" spans="1:4" s="34" customFormat="1" ht="16.5" thickBot="1">
      <c r="A3" s="35" t="s">
        <v>179</v>
      </c>
      <c r="B3" s="36" t="s">
        <v>180</v>
      </c>
      <c r="C3" s="1799">
        <v>1</v>
      </c>
      <c r="D3" s="1800"/>
    </row>
    <row r="4" spans="1:4" s="39" customFormat="1" ht="15.95" customHeight="1" thickBot="1">
      <c r="A4" s="37"/>
      <c r="B4" s="38"/>
      <c r="C4" s="1801" t="s">
        <v>644</v>
      </c>
      <c r="D4" s="1802"/>
    </row>
    <row r="5" spans="1:4" ht="36.75" thickBot="1">
      <c r="A5" s="1699" t="s">
        <v>181</v>
      </c>
      <c r="B5" s="41" t="s">
        <v>182</v>
      </c>
      <c r="C5" s="42" t="s">
        <v>771</v>
      </c>
      <c r="D5" s="43" t="s">
        <v>772</v>
      </c>
    </row>
    <row r="6" spans="1:4" s="49" customFormat="1" ht="12.95" customHeight="1" thickBot="1">
      <c r="A6" s="45">
        <v>1</v>
      </c>
      <c r="B6" s="46">
        <v>2</v>
      </c>
      <c r="C6" s="47">
        <v>3</v>
      </c>
      <c r="D6" s="48">
        <v>4</v>
      </c>
    </row>
    <row r="7" spans="1:4" s="49" customFormat="1" ht="15.95" customHeight="1" thickBot="1">
      <c r="A7" s="1793" t="s">
        <v>183</v>
      </c>
      <c r="B7" s="1794"/>
      <c r="C7" s="1794"/>
      <c r="D7" s="1795"/>
    </row>
    <row r="8" spans="1:4" s="49" customFormat="1" ht="12" customHeight="1" thickBot="1">
      <c r="A8" s="50" t="s">
        <v>184</v>
      </c>
      <c r="B8" s="51" t="s">
        <v>185</v>
      </c>
      <c r="C8" s="52">
        <f>+C9+C10+C11+C12+C13+C14</f>
        <v>89841283</v>
      </c>
      <c r="D8" s="53">
        <f>+D9+D10+D11+D12+D13+D14</f>
        <v>0</v>
      </c>
    </row>
    <row r="9" spans="1:4" s="58" customFormat="1" ht="12" customHeight="1">
      <c r="A9" s="54" t="s">
        <v>186</v>
      </c>
      <c r="B9" s="55" t="s">
        <v>187</v>
      </c>
      <c r="C9" s="56">
        <f>Önkormányzat!AV131</f>
        <v>36492592</v>
      </c>
      <c r="D9" s="57"/>
    </row>
    <row r="10" spans="1:4" s="62" customFormat="1" ht="12" customHeight="1">
      <c r="A10" s="59" t="s">
        <v>188</v>
      </c>
      <c r="B10" s="60" t="s">
        <v>189</v>
      </c>
      <c r="C10" s="56">
        <f>Önkormányzat!AV132</f>
        <v>26837550</v>
      </c>
      <c r="D10" s="61"/>
    </row>
    <row r="11" spans="1:4" s="62" customFormat="1" ht="12" customHeight="1">
      <c r="A11" s="59" t="s">
        <v>190</v>
      </c>
      <c r="B11" s="60" t="s">
        <v>191</v>
      </c>
      <c r="C11" s="56">
        <f>Önkormányzat!AV133</f>
        <v>24620880</v>
      </c>
      <c r="D11" s="61"/>
    </row>
    <row r="12" spans="1:4" s="62" customFormat="1" ht="12" customHeight="1">
      <c r="A12" s="59" t="s">
        <v>192</v>
      </c>
      <c r="B12" s="60" t="s">
        <v>193</v>
      </c>
      <c r="C12" s="56">
        <f>Önkormányzat!AV134</f>
        <v>1890261</v>
      </c>
      <c r="D12" s="61"/>
    </row>
    <row r="13" spans="1:4" s="62" customFormat="1" ht="12" customHeight="1">
      <c r="A13" s="59" t="s">
        <v>194</v>
      </c>
      <c r="B13" s="60" t="s">
        <v>195</v>
      </c>
      <c r="C13" s="56"/>
      <c r="D13" s="61"/>
    </row>
    <row r="14" spans="1:4" s="58" customFormat="1" ht="12" customHeight="1" thickBot="1">
      <c r="A14" s="63" t="s">
        <v>196</v>
      </c>
      <c r="B14" s="64" t="s">
        <v>197</v>
      </c>
      <c r="C14" s="56"/>
      <c r="D14" s="61"/>
    </row>
    <row r="15" spans="1:4" s="58" customFormat="1" ht="23.25" customHeight="1" thickBot="1">
      <c r="A15" s="50" t="s">
        <v>198</v>
      </c>
      <c r="B15" s="65" t="s">
        <v>199</v>
      </c>
      <c r="C15" s="52">
        <f>+C16+C17+C18+C19+C20</f>
        <v>25243825.150000002</v>
      </c>
      <c r="D15" s="53">
        <f>+D16+D17+D18+D19+D20</f>
        <v>0</v>
      </c>
    </row>
    <row r="16" spans="1:4" s="58" customFormat="1" ht="12" customHeight="1">
      <c r="A16" s="54" t="s">
        <v>200</v>
      </c>
      <c r="B16" s="55" t="s">
        <v>201</v>
      </c>
      <c r="C16" s="56"/>
      <c r="D16" s="66"/>
    </row>
    <row r="17" spans="1:4" s="58" customFormat="1" ht="12" customHeight="1">
      <c r="A17" s="59" t="s">
        <v>202</v>
      </c>
      <c r="B17" s="60" t="s">
        <v>203</v>
      </c>
      <c r="C17" s="56"/>
      <c r="D17" s="67"/>
    </row>
    <row r="18" spans="1:4" s="58" customFormat="1" ht="12" customHeight="1">
      <c r="A18" s="59" t="s">
        <v>204</v>
      </c>
      <c r="B18" s="60" t="s">
        <v>205</v>
      </c>
      <c r="C18" s="56"/>
      <c r="D18" s="67"/>
    </row>
    <row r="19" spans="1:4" s="58" customFormat="1" ht="12" customHeight="1">
      <c r="A19" s="59" t="s">
        <v>206</v>
      </c>
      <c r="B19" s="60" t="s">
        <v>207</v>
      </c>
      <c r="C19" s="56"/>
      <c r="D19" s="67"/>
    </row>
    <row r="20" spans="1:4" s="58" customFormat="1" ht="12" customHeight="1">
      <c r="A20" s="59" t="s">
        <v>208</v>
      </c>
      <c r="B20" s="60" t="s">
        <v>209</v>
      </c>
      <c r="C20" s="56">
        <f>Önkormányzat!AV140</f>
        <v>25243825.150000002</v>
      </c>
      <c r="D20" s="61"/>
    </row>
    <row r="21" spans="1:4" s="62" customFormat="1" ht="12" customHeight="1" thickBot="1">
      <c r="A21" s="63" t="s">
        <v>210</v>
      </c>
      <c r="B21" s="64" t="s">
        <v>211</v>
      </c>
      <c r="C21" s="56"/>
      <c r="D21" s="68"/>
    </row>
    <row r="22" spans="1:4" s="62" customFormat="1" ht="22.5" customHeight="1" thickBot="1">
      <c r="A22" s="50" t="s">
        <v>212</v>
      </c>
      <c r="B22" s="51" t="s">
        <v>213</v>
      </c>
      <c r="C22" s="52">
        <f>+C23+C24+C25+C26+C27</f>
        <v>6181639</v>
      </c>
      <c r="D22" s="53">
        <f>+D23+D24+D25+D26+D27</f>
        <v>0</v>
      </c>
    </row>
    <row r="23" spans="1:4" s="62" customFormat="1" ht="12" customHeight="1">
      <c r="A23" s="54" t="s">
        <v>214</v>
      </c>
      <c r="B23" s="55" t="s">
        <v>215</v>
      </c>
      <c r="C23" s="56"/>
      <c r="D23" s="66"/>
    </row>
    <row r="24" spans="1:4" s="58" customFormat="1" ht="12" customHeight="1">
      <c r="A24" s="59" t="s">
        <v>216</v>
      </c>
      <c r="B24" s="60" t="s">
        <v>217</v>
      </c>
      <c r="C24" s="56"/>
      <c r="D24" s="67"/>
    </row>
    <row r="25" spans="1:4" s="62" customFormat="1" ht="12" customHeight="1">
      <c r="A25" s="59" t="s">
        <v>218</v>
      </c>
      <c r="B25" s="60" t="s">
        <v>219</v>
      </c>
      <c r="C25" s="56"/>
      <c r="D25" s="67"/>
    </row>
    <row r="26" spans="1:4" s="62" customFormat="1" ht="12" customHeight="1">
      <c r="A26" s="59" t="s">
        <v>220</v>
      </c>
      <c r="B26" s="60" t="s">
        <v>221</v>
      </c>
      <c r="C26" s="56"/>
      <c r="D26" s="67"/>
    </row>
    <row r="27" spans="1:4" s="62" customFormat="1" ht="12" customHeight="1">
      <c r="A27" s="59" t="s">
        <v>222</v>
      </c>
      <c r="B27" s="60" t="s">
        <v>223</v>
      </c>
      <c r="C27" s="56">
        <f>Önkormányzat!AV146</f>
        <v>6181639</v>
      </c>
      <c r="D27" s="61"/>
    </row>
    <row r="28" spans="1:4" s="62" customFormat="1" ht="12" customHeight="1" thickBot="1">
      <c r="A28" s="63" t="s">
        <v>224</v>
      </c>
      <c r="B28" s="64" t="s">
        <v>225</v>
      </c>
      <c r="C28" s="56"/>
      <c r="D28" s="68"/>
    </row>
    <row r="29" spans="1:4" s="62" customFormat="1" ht="12" customHeight="1" thickBot="1">
      <c r="A29" s="50" t="s">
        <v>226</v>
      </c>
      <c r="B29" s="51" t="s">
        <v>227</v>
      </c>
      <c r="C29" s="69">
        <f>+C30+C36</f>
        <v>16238000</v>
      </c>
      <c r="D29" s="70">
        <f>+D30+D34+D35+D36</f>
        <v>0</v>
      </c>
    </row>
    <row r="30" spans="1:4" s="62" customFormat="1" ht="12" customHeight="1">
      <c r="A30" s="54" t="s">
        <v>228</v>
      </c>
      <c r="B30" s="55" t="s">
        <v>552</v>
      </c>
      <c r="C30" s="71">
        <f>SUM(C31:C35)</f>
        <v>16108000</v>
      </c>
      <c r="D30" s="72"/>
    </row>
    <row r="31" spans="1:4" s="62" customFormat="1" ht="12" customHeight="1">
      <c r="A31" s="59" t="s">
        <v>229</v>
      </c>
      <c r="B31" s="452" t="s">
        <v>599</v>
      </c>
      <c r="C31" s="56"/>
      <c r="D31" s="72"/>
    </row>
    <row r="32" spans="1:4" s="62" customFormat="1" ht="12" customHeight="1">
      <c r="A32" s="59" t="s">
        <v>231</v>
      </c>
      <c r="B32" s="60" t="s">
        <v>230</v>
      </c>
      <c r="C32" s="56">
        <f>Önkormányzat!AV151</f>
        <v>3700000</v>
      </c>
      <c r="D32" s="61"/>
    </row>
    <row r="33" spans="1:4" s="62" customFormat="1" ht="12" customHeight="1">
      <c r="A33" s="59" t="s">
        <v>549</v>
      </c>
      <c r="B33" s="452" t="s">
        <v>550</v>
      </c>
      <c r="C33" s="56">
        <f>Önkormányzat!AV154-2592000</f>
        <v>7908000</v>
      </c>
      <c r="D33" s="61"/>
    </row>
    <row r="34" spans="1:4" s="62" customFormat="1" ht="12" customHeight="1">
      <c r="A34" s="59" t="s">
        <v>551</v>
      </c>
      <c r="B34" s="452" t="s">
        <v>548</v>
      </c>
      <c r="C34" s="56">
        <f>Önkormányzat!AV157</f>
        <v>4500000</v>
      </c>
      <c r="D34" s="61"/>
    </row>
    <row r="35" spans="1:4" s="62" customFormat="1" ht="12" customHeight="1">
      <c r="A35" s="59" t="s">
        <v>597</v>
      </c>
      <c r="B35" s="452" t="s">
        <v>598</v>
      </c>
      <c r="C35" s="56"/>
      <c r="D35" s="61"/>
    </row>
    <row r="36" spans="1:4" s="62" customFormat="1" ht="12" customHeight="1" thickBot="1">
      <c r="A36" s="63" t="s">
        <v>232</v>
      </c>
      <c r="B36" s="64" t="s">
        <v>6</v>
      </c>
      <c r="C36" s="56">
        <f>Önkormányzat!AV166</f>
        <v>130000</v>
      </c>
      <c r="D36" s="73"/>
    </row>
    <row r="37" spans="1:4" s="62" customFormat="1" ht="12" customHeight="1" thickBot="1">
      <c r="A37" s="50" t="s">
        <v>233</v>
      </c>
      <c r="B37" s="51" t="s">
        <v>234</v>
      </c>
      <c r="C37" s="52">
        <f>SUM(C38:C47)</f>
        <v>5204692.8</v>
      </c>
      <c r="D37" s="53">
        <f>SUM(D38:D47)</f>
        <v>0</v>
      </c>
    </row>
    <row r="38" spans="1:4" s="62" customFormat="1" ht="12" customHeight="1">
      <c r="A38" s="54" t="s">
        <v>235</v>
      </c>
      <c r="B38" s="55" t="s">
        <v>236</v>
      </c>
      <c r="C38" s="56"/>
      <c r="D38" s="67"/>
    </row>
    <row r="39" spans="1:4" s="62" customFormat="1" ht="12" customHeight="1">
      <c r="A39" s="59" t="s">
        <v>237</v>
      </c>
      <c r="B39" s="60" t="s">
        <v>238</v>
      </c>
      <c r="C39" s="56">
        <f>Önkormányzat!AV168</f>
        <v>1825760</v>
      </c>
      <c r="D39" s="67"/>
    </row>
    <row r="40" spans="1:4" s="62" customFormat="1" ht="12" customHeight="1">
      <c r="A40" s="59" t="s">
        <v>239</v>
      </c>
      <c r="B40" s="60" t="s">
        <v>240</v>
      </c>
      <c r="C40" s="56">
        <f>Önkormányzat!AV169</f>
        <v>228000</v>
      </c>
      <c r="D40" s="67"/>
    </row>
    <row r="41" spans="1:4" s="62" customFormat="1" ht="12" customHeight="1">
      <c r="A41" s="59" t="s">
        <v>241</v>
      </c>
      <c r="B41" s="60" t="s">
        <v>242</v>
      </c>
      <c r="C41" s="56">
        <f>Önkormányzat!AV171</f>
        <v>300000</v>
      </c>
      <c r="D41" s="67"/>
    </row>
    <row r="42" spans="1:4" s="62" customFormat="1" ht="12" customHeight="1">
      <c r="A42" s="59" t="s">
        <v>243</v>
      </c>
      <c r="B42" s="60" t="s">
        <v>244</v>
      </c>
      <c r="C42" s="56">
        <f>Önkormányzat!AV172</f>
        <v>0</v>
      </c>
      <c r="D42" s="67"/>
    </row>
    <row r="43" spans="1:4" s="62" customFormat="1" ht="12" customHeight="1">
      <c r="A43" s="59" t="s">
        <v>245</v>
      </c>
      <c r="B43" s="60" t="s">
        <v>246</v>
      </c>
      <c r="C43" s="56">
        <f>Önkormányzat!AV173</f>
        <v>2750932.8</v>
      </c>
      <c r="D43" s="67"/>
    </row>
    <row r="44" spans="1:4" s="62" customFormat="1" ht="12" customHeight="1">
      <c r="A44" s="59" t="s">
        <v>247</v>
      </c>
      <c r="B44" s="60" t="s">
        <v>248</v>
      </c>
      <c r="C44" s="56"/>
      <c r="D44" s="67"/>
    </row>
    <row r="45" spans="1:4" s="62" customFormat="1" ht="12" customHeight="1">
      <c r="A45" s="59" t="s">
        <v>249</v>
      </c>
      <c r="B45" s="60" t="s">
        <v>250</v>
      </c>
      <c r="C45" s="56">
        <f>Önkormányzat!AV175</f>
        <v>100000</v>
      </c>
      <c r="D45" s="67"/>
    </row>
    <row r="46" spans="1:4" s="62" customFormat="1" ht="12" customHeight="1">
      <c r="A46" s="59" t="s">
        <v>251</v>
      </c>
      <c r="B46" s="60" t="s">
        <v>252</v>
      </c>
      <c r="C46" s="56"/>
      <c r="D46" s="74"/>
    </row>
    <row r="47" spans="1:4" s="62" customFormat="1" ht="12" customHeight="1" thickBot="1">
      <c r="A47" s="63" t="s">
        <v>253</v>
      </c>
      <c r="B47" s="64" t="s">
        <v>254</v>
      </c>
      <c r="C47" s="56"/>
      <c r="D47" s="75"/>
    </row>
    <row r="48" spans="1:4" s="62" customFormat="1" ht="12" customHeight="1" thickBot="1">
      <c r="A48" s="50" t="s">
        <v>255</v>
      </c>
      <c r="B48" s="51" t="s">
        <v>256</v>
      </c>
      <c r="C48" s="52">
        <f>SUM(C49:C53)</f>
        <v>9300000</v>
      </c>
      <c r="D48" s="53">
        <f>SUM(D49:D53)</f>
        <v>0</v>
      </c>
    </row>
    <row r="49" spans="1:4" s="62" customFormat="1" ht="12" customHeight="1">
      <c r="A49" s="54" t="s">
        <v>257</v>
      </c>
      <c r="B49" s="55" t="s">
        <v>258</v>
      </c>
      <c r="C49" s="56"/>
      <c r="D49" s="76"/>
    </row>
    <row r="50" spans="1:4" s="62" customFormat="1" ht="12" customHeight="1">
      <c r="A50" s="59" t="s">
        <v>259</v>
      </c>
      <c r="B50" s="60" t="s">
        <v>260</v>
      </c>
      <c r="C50" s="56">
        <f>Önkormányzat!AV181</f>
        <v>9300000</v>
      </c>
      <c r="D50" s="74"/>
    </row>
    <row r="51" spans="1:4" s="62" customFormat="1" ht="12" customHeight="1">
      <c r="A51" s="59" t="s">
        <v>261</v>
      </c>
      <c r="B51" s="60" t="s">
        <v>262</v>
      </c>
      <c r="C51" s="56"/>
      <c r="D51" s="74"/>
    </row>
    <row r="52" spans="1:4" s="62" customFormat="1" ht="12" customHeight="1">
      <c r="A52" s="59" t="s">
        <v>263</v>
      </c>
      <c r="B52" s="60" t="s">
        <v>264</v>
      </c>
      <c r="C52" s="56"/>
      <c r="D52" s="74"/>
    </row>
    <row r="53" spans="1:4" s="62" customFormat="1" ht="12" customHeight="1" thickBot="1">
      <c r="A53" s="63" t="s">
        <v>265</v>
      </c>
      <c r="B53" s="64" t="s">
        <v>266</v>
      </c>
      <c r="C53" s="56"/>
      <c r="D53" s="75"/>
    </row>
    <row r="54" spans="1:4" s="62" customFormat="1" ht="12" customHeight="1" thickBot="1">
      <c r="A54" s="50" t="s">
        <v>267</v>
      </c>
      <c r="B54" s="51" t="s">
        <v>268</v>
      </c>
      <c r="C54" s="52">
        <f>SUM(C55:C57)</f>
        <v>300000</v>
      </c>
      <c r="D54" s="53">
        <f>SUM(D55:D57)</f>
        <v>0</v>
      </c>
    </row>
    <row r="55" spans="1:4" s="62" customFormat="1" ht="12" customHeight="1">
      <c r="A55" s="54" t="s">
        <v>269</v>
      </c>
      <c r="B55" s="55" t="s">
        <v>270</v>
      </c>
      <c r="C55" s="56"/>
      <c r="D55" s="66"/>
    </row>
    <row r="56" spans="1:4" s="62" customFormat="1" ht="12" customHeight="1">
      <c r="A56" s="59" t="s">
        <v>271</v>
      </c>
      <c r="B56" s="60" t="s">
        <v>272</v>
      </c>
      <c r="C56" s="56"/>
      <c r="D56" s="67"/>
    </row>
    <row r="57" spans="1:4" s="62" customFormat="1" ht="12" customHeight="1">
      <c r="A57" s="59" t="s">
        <v>273</v>
      </c>
      <c r="B57" s="60" t="s">
        <v>274</v>
      </c>
      <c r="C57" s="56">
        <f>Önkormányzat!AV184</f>
        <v>300000</v>
      </c>
      <c r="D57" s="61"/>
    </row>
    <row r="58" spans="1:4" s="62" customFormat="1" ht="12" customHeight="1" thickBot="1">
      <c r="A58" s="63" t="s">
        <v>275</v>
      </c>
      <c r="B58" s="64" t="s">
        <v>276</v>
      </c>
      <c r="C58" s="56"/>
      <c r="D58" s="73"/>
    </row>
    <row r="59" spans="1:4" s="62" customFormat="1" ht="12" customHeight="1" thickBot="1">
      <c r="A59" s="50" t="s">
        <v>277</v>
      </c>
      <c r="B59" s="65" t="s">
        <v>278</v>
      </c>
      <c r="C59" s="52">
        <f>SUM(C60:C62)</f>
        <v>0</v>
      </c>
      <c r="D59" s="77">
        <f>SUM(D60:D62)</f>
        <v>0</v>
      </c>
    </row>
    <row r="60" spans="1:4" s="62" customFormat="1" ht="12" customHeight="1">
      <c r="A60" s="54" t="s">
        <v>279</v>
      </c>
      <c r="B60" s="55" t="s">
        <v>280</v>
      </c>
      <c r="C60" s="56"/>
      <c r="D60" s="61"/>
    </row>
    <row r="61" spans="1:4" s="62" customFormat="1" ht="12" customHeight="1">
      <c r="A61" s="59" t="s">
        <v>281</v>
      </c>
      <c r="B61" s="60" t="s">
        <v>282</v>
      </c>
      <c r="C61" s="56"/>
      <c r="D61" s="67"/>
    </row>
    <row r="62" spans="1:4" s="62" customFormat="1" ht="12" customHeight="1">
      <c r="A62" s="59" t="s">
        <v>283</v>
      </c>
      <c r="B62" s="60" t="s">
        <v>284</v>
      </c>
      <c r="C62" s="56"/>
      <c r="D62" s="67"/>
    </row>
    <row r="63" spans="1:4" s="62" customFormat="1" ht="12" customHeight="1" thickBot="1">
      <c r="A63" s="63" t="s">
        <v>285</v>
      </c>
      <c r="B63" s="64" t="s">
        <v>286</v>
      </c>
      <c r="C63" s="56"/>
      <c r="D63" s="74"/>
    </row>
    <row r="64" spans="1:4" s="62" customFormat="1" ht="12" customHeight="1" thickBot="1">
      <c r="A64" s="50" t="s">
        <v>287</v>
      </c>
      <c r="B64" s="51" t="s">
        <v>288</v>
      </c>
      <c r="C64" s="69">
        <f>+C8+C15+C22+C29+C37+C48+C54+C59</f>
        <v>152309439.95000002</v>
      </c>
      <c r="D64" s="70">
        <f>+D8+D15+D22+D29+D37+D48+D54+D59</f>
        <v>0</v>
      </c>
    </row>
    <row r="65" spans="1:4" s="62" customFormat="1" ht="12" customHeight="1" thickBot="1">
      <c r="A65" s="78" t="s">
        <v>289</v>
      </c>
      <c r="B65" s="65" t="s">
        <v>290</v>
      </c>
      <c r="C65" s="52">
        <f>SUM(C66:C68)</f>
        <v>0</v>
      </c>
      <c r="D65" s="53">
        <f>SUM(D66:D68)</f>
        <v>0</v>
      </c>
    </row>
    <row r="66" spans="1:4" s="62" customFormat="1" ht="12" customHeight="1">
      <c r="A66" s="54" t="s">
        <v>291</v>
      </c>
      <c r="B66" s="55" t="s">
        <v>292</v>
      </c>
      <c r="C66" s="56"/>
      <c r="D66" s="74"/>
    </row>
    <row r="67" spans="1:4" s="62" customFormat="1" ht="12" customHeight="1">
      <c r="A67" s="59" t="s">
        <v>293</v>
      </c>
      <c r="B67" s="60" t="s">
        <v>294</v>
      </c>
      <c r="C67" s="56"/>
      <c r="D67" s="74"/>
    </row>
    <row r="68" spans="1:4" s="62" customFormat="1" ht="12" customHeight="1" thickBot="1">
      <c r="A68" s="63" t="s">
        <v>295</v>
      </c>
      <c r="B68" s="79" t="s">
        <v>296</v>
      </c>
      <c r="C68" s="56"/>
      <c r="D68" s="74"/>
    </row>
    <row r="69" spans="1:4" s="62" customFormat="1" ht="12" customHeight="1" thickBot="1">
      <c r="A69" s="78" t="s">
        <v>297</v>
      </c>
      <c r="B69" s="65" t="s">
        <v>298</v>
      </c>
      <c r="C69" s="52">
        <f>SUM(C70:C73)</f>
        <v>0</v>
      </c>
      <c r="D69" s="53">
        <f>SUM(D70:D73)</f>
        <v>0</v>
      </c>
    </row>
    <row r="70" spans="1:4" s="62" customFormat="1" ht="12" customHeight="1">
      <c r="A70" s="54" t="s">
        <v>299</v>
      </c>
      <c r="B70" s="55" t="s">
        <v>300</v>
      </c>
      <c r="C70" s="56"/>
      <c r="D70" s="74"/>
    </row>
    <row r="71" spans="1:4" s="62" customFormat="1" ht="12" customHeight="1">
      <c r="A71" s="59" t="s">
        <v>301</v>
      </c>
      <c r="B71" s="60" t="s">
        <v>302</v>
      </c>
      <c r="C71" s="56"/>
      <c r="D71" s="74"/>
    </row>
    <row r="72" spans="1:4" s="62" customFormat="1" ht="12" customHeight="1">
      <c r="A72" s="59" t="s">
        <v>303</v>
      </c>
      <c r="B72" s="60" t="s">
        <v>304</v>
      </c>
      <c r="C72" s="56"/>
      <c r="D72" s="74"/>
    </row>
    <row r="73" spans="1:4" s="62" customFormat="1" ht="12" customHeight="1" thickBot="1">
      <c r="A73" s="80" t="s">
        <v>305</v>
      </c>
      <c r="B73" s="81" t="s">
        <v>306</v>
      </c>
      <c r="C73" s="56"/>
      <c r="D73" s="82"/>
    </row>
    <row r="74" spans="1:4" s="62" customFormat="1" ht="12" customHeight="1" thickBot="1">
      <c r="A74" s="78" t="s">
        <v>307</v>
      </c>
      <c r="B74" s="65" t="s">
        <v>308</v>
      </c>
      <c r="C74" s="52">
        <f>SUM(C75:C76)</f>
        <v>82895435</v>
      </c>
      <c r="D74" s="53">
        <f>SUM(D75:D76)</f>
        <v>0</v>
      </c>
    </row>
    <row r="75" spans="1:4" s="62" customFormat="1" ht="12" customHeight="1">
      <c r="A75" s="54" t="s">
        <v>309</v>
      </c>
      <c r="B75" s="55" t="s">
        <v>310</v>
      </c>
      <c r="C75" s="56">
        <f>Önkormányzat!AV190</f>
        <v>82895435</v>
      </c>
      <c r="D75" s="74"/>
    </row>
    <row r="76" spans="1:4" s="62" customFormat="1" ht="12" customHeight="1" thickBot="1">
      <c r="A76" s="63" t="s">
        <v>311</v>
      </c>
      <c r="B76" s="64" t="s">
        <v>312</v>
      </c>
      <c r="C76" s="56"/>
      <c r="D76" s="74"/>
    </row>
    <row r="77" spans="1:4" s="58" customFormat="1" ht="12" customHeight="1" thickBot="1">
      <c r="A77" s="78" t="s">
        <v>313</v>
      </c>
      <c r="B77" s="65" t="s">
        <v>314</v>
      </c>
      <c r="C77" s="52">
        <f>SUM(C78:C80)</f>
        <v>0</v>
      </c>
      <c r="D77" s="53">
        <f>SUM(D78:D80)</f>
        <v>0</v>
      </c>
    </row>
    <row r="78" spans="1:4" s="62" customFormat="1" ht="12" customHeight="1">
      <c r="A78" s="54" t="s">
        <v>315</v>
      </c>
      <c r="B78" s="55" t="s">
        <v>316</v>
      </c>
      <c r="C78" s="56"/>
      <c r="D78" s="74"/>
    </row>
    <row r="79" spans="1:4" s="62" customFormat="1" ht="12" customHeight="1">
      <c r="A79" s="59" t="s">
        <v>317</v>
      </c>
      <c r="B79" s="60" t="s">
        <v>318</v>
      </c>
      <c r="C79" s="56"/>
      <c r="D79" s="74"/>
    </row>
    <row r="80" spans="1:4" s="62" customFormat="1" ht="12" customHeight="1" thickBot="1">
      <c r="A80" s="63" t="s">
        <v>319</v>
      </c>
      <c r="B80" s="64" t="s">
        <v>320</v>
      </c>
      <c r="C80" s="56"/>
      <c r="D80" s="74"/>
    </row>
    <row r="81" spans="1:4" s="62" customFormat="1" ht="12" customHeight="1" thickBot="1">
      <c r="A81" s="78" t="s">
        <v>321</v>
      </c>
      <c r="B81" s="65" t="s">
        <v>322</v>
      </c>
      <c r="C81" s="52">
        <f>SUM(C82:C85)</f>
        <v>0</v>
      </c>
      <c r="D81" s="53">
        <f>SUM(D82:D85)</f>
        <v>0</v>
      </c>
    </row>
    <row r="82" spans="1:4" s="62" customFormat="1" ht="12" customHeight="1">
      <c r="A82" s="83" t="s">
        <v>323</v>
      </c>
      <c r="B82" s="55" t="s">
        <v>324</v>
      </c>
      <c r="C82" s="56"/>
      <c r="D82" s="74"/>
    </row>
    <row r="83" spans="1:4" s="62" customFormat="1" ht="12" customHeight="1">
      <c r="A83" s="84" t="s">
        <v>325</v>
      </c>
      <c r="B83" s="60" t="s">
        <v>326</v>
      </c>
      <c r="C83" s="56"/>
      <c r="D83" s="74"/>
    </row>
    <row r="84" spans="1:4" s="62" customFormat="1" ht="12" customHeight="1">
      <c r="A84" s="84" t="s">
        <v>327</v>
      </c>
      <c r="B84" s="60" t="s">
        <v>328</v>
      </c>
      <c r="C84" s="56"/>
      <c r="D84" s="74"/>
    </row>
    <row r="85" spans="1:4" s="58" customFormat="1" ht="12" customHeight="1" thickBot="1">
      <c r="A85" s="85" t="s">
        <v>329</v>
      </c>
      <c r="B85" s="64" t="s">
        <v>330</v>
      </c>
      <c r="C85" s="56"/>
      <c r="D85" s="74"/>
    </row>
    <row r="86" spans="1:4" s="58" customFormat="1" ht="12" customHeight="1" thickBot="1">
      <c r="A86" s="78" t="s">
        <v>331</v>
      </c>
      <c r="B86" s="65" t="s">
        <v>332</v>
      </c>
      <c r="C86" s="86"/>
      <c r="D86" s="87"/>
    </row>
    <row r="87" spans="1:4" s="58" customFormat="1" ht="12" customHeight="1" thickBot="1">
      <c r="A87" s="78" t="s">
        <v>333</v>
      </c>
      <c r="B87" s="88" t="s">
        <v>334</v>
      </c>
      <c r="C87" s="69">
        <f>+C65+C69+C74+C77+C81+C86</f>
        <v>82895435</v>
      </c>
      <c r="D87" s="70">
        <f>+D65+D69+D74+D77+D81+D86</f>
        <v>0</v>
      </c>
    </row>
    <row r="88" spans="1:4" s="58" customFormat="1" ht="12" customHeight="1" thickBot="1">
      <c r="A88" s="89" t="s">
        <v>335</v>
      </c>
      <c r="B88" s="90" t="s">
        <v>336</v>
      </c>
      <c r="C88" s="69">
        <f>+C64+C87</f>
        <v>235204874.95000002</v>
      </c>
      <c r="D88" s="70">
        <f>+D64+D87</f>
        <v>0</v>
      </c>
    </row>
    <row r="89" spans="1:4" s="62" customFormat="1" ht="15" customHeight="1">
      <c r="A89" s="91"/>
      <c r="B89" s="92"/>
      <c r="C89" s="93"/>
      <c r="D89" s="93"/>
    </row>
    <row r="90" spans="1:4" ht="13.5" thickBot="1">
      <c r="A90" s="94"/>
      <c r="B90" s="95"/>
      <c r="C90" s="96"/>
      <c r="D90" s="96"/>
    </row>
    <row r="91" spans="1:4" s="49" customFormat="1" ht="16.5" customHeight="1" thickBot="1">
      <c r="A91" s="1793" t="s">
        <v>337</v>
      </c>
      <c r="B91" s="1794"/>
      <c r="C91" s="1794"/>
      <c r="D91" s="1795"/>
    </row>
    <row r="92" spans="1:4" s="101" customFormat="1" ht="12" customHeight="1" thickBot="1">
      <c r="A92" s="97" t="s">
        <v>184</v>
      </c>
      <c r="B92" s="98" t="s">
        <v>338</v>
      </c>
      <c r="C92" s="99">
        <f>SUM(C93:C97)</f>
        <v>81644669.199999988</v>
      </c>
      <c r="D92" s="100">
        <f>SUM(D93:D97)</f>
        <v>0</v>
      </c>
    </row>
    <row r="93" spans="1:4" ht="12" customHeight="1">
      <c r="A93" s="102" t="s">
        <v>186</v>
      </c>
      <c r="B93" s="103" t="s">
        <v>339</v>
      </c>
      <c r="C93" s="453">
        <f>Önkormányzat!AV18</f>
        <v>27239878</v>
      </c>
      <c r="D93" s="104"/>
    </row>
    <row r="94" spans="1:4" ht="12" customHeight="1">
      <c r="A94" s="59" t="s">
        <v>188</v>
      </c>
      <c r="B94" s="105" t="s">
        <v>1</v>
      </c>
      <c r="C94" s="454">
        <f>Önkormányzat!AV26</f>
        <v>4713511.1500000004</v>
      </c>
      <c r="D94" s="67"/>
    </row>
    <row r="95" spans="1:4" ht="12" customHeight="1">
      <c r="A95" s="59" t="s">
        <v>190</v>
      </c>
      <c r="B95" s="105" t="s">
        <v>340</v>
      </c>
      <c r="C95" s="454">
        <f>Önkormányzat!AV82</f>
        <v>44668980.049999997</v>
      </c>
      <c r="D95" s="68"/>
    </row>
    <row r="96" spans="1:4" ht="12" customHeight="1">
      <c r="A96" s="59" t="s">
        <v>192</v>
      </c>
      <c r="B96" s="106" t="s">
        <v>7</v>
      </c>
      <c r="C96" s="454">
        <f>Önkormányzat!AV97</f>
        <v>2850000</v>
      </c>
      <c r="D96" s="68"/>
    </row>
    <row r="97" spans="1:4" ht="12" customHeight="1">
      <c r="A97" s="59" t="s">
        <v>341</v>
      </c>
      <c r="B97" s="107" t="s">
        <v>11</v>
      </c>
      <c r="C97" s="454">
        <f>SUM(C98:C107)</f>
        <v>2172300</v>
      </c>
      <c r="D97" s="68">
        <f>SUM(D98:D107)</f>
        <v>0</v>
      </c>
    </row>
    <row r="98" spans="1:4" ht="12" customHeight="1">
      <c r="A98" s="59" t="s">
        <v>196</v>
      </c>
      <c r="B98" s="105" t="s">
        <v>342</v>
      </c>
      <c r="C98" s="454"/>
      <c r="D98" s="68"/>
    </row>
    <row r="99" spans="1:4" ht="12" customHeight="1">
      <c r="A99" s="59" t="s">
        <v>343</v>
      </c>
      <c r="B99" s="108" t="s">
        <v>344</v>
      </c>
      <c r="C99" s="454"/>
      <c r="D99" s="68"/>
    </row>
    <row r="100" spans="1:4" ht="12" customHeight="1">
      <c r="A100" s="59" t="s">
        <v>345</v>
      </c>
      <c r="B100" s="109" t="s">
        <v>346</v>
      </c>
      <c r="C100" s="454"/>
      <c r="D100" s="68"/>
    </row>
    <row r="101" spans="1:4" ht="20.25" customHeight="1">
      <c r="A101" s="59" t="s">
        <v>347</v>
      </c>
      <c r="B101" s="109" t="s">
        <v>348</v>
      </c>
      <c r="C101" s="454"/>
      <c r="D101" s="68"/>
    </row>
    <row r="102" spans="1:4" ht="12" customHeight="1">
      <c r="A102" s="59" t="s">
        <v>349</v>
      </c>
      <c r="B102" s="108" t="s">
        <v>350</v>
      </c>
      <c r="C102" s="454">
        <f>Önkormányzat!AV104</f>
        <v>2172300</v>
      </c>
      <c r="D102" s="68"/>
    </row>
    <row r="103" spans="1:4" ht="12" customHeight="1">
      <c r="A103" s="59" t="s">
        <v>351</v>
      </c>
      <c r="B103" s="108" t="s">
        <v>352</v>
      </c>
      <c r="C103" s="454"/>
      <c r="D103" s="68"/>
    </row>
    <row r="104" spans="1:4" ht="12" customHeight="1">
      <c r="A104" s="59" t="s">
        <v>353</v>
      </c>
      <c r="B104" s="109" t="s">
        <v>354</v>
      </c>
      <c r="C104" s="454"/>
      <c r="D104" s="68"/>
    </row>
    <row r="105" spans="1:4" ht="12" customHeight="1">
      <c r="A105" s="110" t="s">
        <v>355</v>
      </c>
      <c r="B105" s="111" t="s">
        <v>356</v>
      </c>
      <c r="C105" s="454"/>
      <c r="D105" s="68"/>
    </row>
    <row r="106" spans="1:4" ht="12" customHeight="1">
      <c r="A106" s="59" t="s">
        <v>357</v>
      </c>
      <c r="B106" s="111" t="s">
        <v>358</v>
      </c>
      <c r="C106" s="454"/>
      <c r="D106" s="68"/>
    </row>
    <row r="107" spans="1:4" ht="12" customHeight="1" thickBot="1">
      <c r="A107" s="80" t="s">
        <v>359</v>
      </c>
      <c r="B107" s="112" t="s">
        <v>360</v>
      </c>
      <c r="C107" s="596"/>
      <c r="D107" s="113"/>
    </row>
    <row r="108" spans="1:4" ht="12" customHeight="1" thickBot="1">
      <c r="A108" s="50" t="s">
        <v>198</v>
      </c>
      <c r="B108" s="114" t="s">
        <v>361</v>
      </c>
      <c r="C108" s="52">
        <f>+C109+C111+C113</f>
        <v>90750940.289999992</v>
      </c>
      <c r="D108" s="53">
        <f>+D109+D111+D113</f>
        <v>0</v>
      </c>
    </row>
    <row r="109" spans="1:4" ht="12" customHeight="1">
      <c r="A109" s="54" t="s">
        <v>200</v>
      </c>
      <c r="B109" s="105" t="s">
        <v>3</v>
      </c>
      <c r="C109" s="453">
        <f>Önkormányzat!AV113</f>
        <v>26524000</v>
      </c>
      <c r="D109" s="66"/>
    </row>
    <row r="110" spans="1:4" ht="12" customHeight="1">
      <c r="A110" s="54" t="s">
        <v>202</v>
      </c>
      <c r="B110" s="115" t="s">
        <v>362</v>
      </c>
      <c r="C110" s="454"/>
      <c r="D110" s="66"/>
    </row>
    <row r="111" spans="1:4" ht="12" customHeight="1">
      <c r="A111" s="54" t="s">
        <v>204</v>
      </c>
      <c r="B111" s="115" t="s">
        <v>8</v>
      </c>
      <c r="C111" s="454">
        <f>Önkormányzat!AV118</f>
        <v>63476940.289999999</v>
      </c>
      <c r="D111" s="67"/>
    </row>
    <row r="112" spans="1:4" ht="12" customHeight="1">
      <c r="A112" s="54" t="s">
        <v>206</v>
      </c>
      <c r="B112" s="115" t="s">
        <v>363</v>
      </c>
      <c r="C112" s="454"/>
      <c r="D112" s="67"/>
    </row>
    <row r="113" spans="1:4" ht="12" customHeight="1">
      <c r="A113" s="54" t="s">
        <v>208</v>
      </c>
      <c r="B113" s="116" t="s">
        <v>364</v>
      </c>
      <c r="C113" s="454">
        <f>SUM(C114:C121)</f>
        <v>750000</v>
      </c>
      <c r="D113" s="67">
        <f>SUM(D114:D121)</f>
        <v>0</v>
      </c>
    </row>
    <row r="114" spans="1:4" ht="12" customHeight="1">
      <c r="A114" s="54" t="s">
        <v>210</v>
      </c>
      <c r="B114" s="117" t="s">
        <v>365</v>
      </c>
      <c r="C114" s="454"/>
      <c r="D114" s="67"/>
    </row>
    <row r="115" spans="1:4" ht="12" customHeight="1">
      <c r="A115" s="54" t="s">
        <v>366</v>
      </c>
      <c r="B115" s="118" t="s">
        <v>367</v>
      </c>
      <c r="C115" s="454"/>
      <c r="D115" s="67"/>
    </row>
    <row r="116" spans="1:4" ht="26.25" customHeight="1">
      <c r="A116" s="54" t="s">
        <v>368</v>
      </c>
      <c r="B116" s="109" t="s">
        <v>348</v>
      </c>
      <c r="C116" s="454"/>
      <c r="D116" s="67"/>
    </row>
    <row r="117" spans="1:4" ht="12" customHeight="1">
      <c r="A117" s="54" t="s">
        <v>369</v>
      </c>
      <c r="B117" s="109" t="s">
        <v>370</v>
      </c>
      <c r="C117" s="454"/>
      <c r="D117" s="67"/>
    </row>
    <row r="118" spans="1:4" ht="12" customHeight="1">
      <c r="A118" s="54" t="s">
        <v>371</v>
      </c>
      <c r="B118" s="109" t="s">
        <v>372</v>
      </c>
      <c r="C118" s="454"/>
      <c r="D118" s="67"/>
    </row>
    <row r="119" spans="1:4" ht="12" customHeight="1">
      <c r="A119" s="54" t="s">
        <v>373</v>
      </c>
      <c r="B119" s="109" t="s">
        <v>354</v>
      </c>
      <c r="C119" s="454"/>
      <c r="D119" s="67"/>
    </row>
    <row r="120" spans="1:4" ht="12" customHeight="1">
      <c r="A120" s="54" t="s">
        <v>374</v>
      </c>
      <c r="B120" s="109" t="s">
        <v>375</v>
      </c>
      <c r="C120" s="454">
        <f>Önkormányzat!AV119</f>
        <v>750000</v>
      </c>
      <c r="D120" s="67"/>
    </row>
    <row r="121" spans="1:4" ht="12" customHeight="1" thickBot="1">
      <c r="A121" s="110" t="s">
        <v>376</v>
      </c>
      <c r="B121" s="109" t="s">
        <v>377</v>
      </c>
      <c r="C121" s="596"/>
      <c r="D121" s="68"/>
    </row>
    <row r="122" spans="1:4" ht="12" customHeight="1" thickBot="1">
      <c r="A122" s="50" t="s">
        <v>212</v>
      </c>
      <c r="B122" s="119" t="s">
        <v>378</v>
      </c>
      <c r="C122" s="52">
        <f>+C123+C124</f>
        <v>7762552</v>
      </c>
      <c r="D122" s="53">
        <f>+D123+D124</f>
        <v>0</v>
      </c>
    </row>
    <row r="123" spans="1:4" ht="12" customHeight="1">
      <c r="A123" s="54" t="s">
        <v>214</v>
      </c>
      <c r="B123" s="120" t="s">
        <v>379</v>
      </c>
      <c r="C123" s="455">
        <f>Önkormányzat!AV106-4072552</f>
        <v>3690000</v>
      </c>
      <c r="D123" s="66"/>
    </row>
    <row r="124" spans="1:4" ht="12" customHeight="1" thickBot="1">
      <c r="A124" s="63" t="s">
        <v>216</v>
      </c>
      <c r="B124" s="115" t="s">
        <v>380</v>
      </c>
      <c r="C124" s="596">
        <v>4072552</v>
      </c>
      <c r="D124" s="68"/>
    </row>
    <row r="125" spans="1:4" ht="12" customHeight="1" thickBot="1">
      <c r="A125" s="50" t="s">
        <v>381</v>
      </c>
      <c r="B125" s="119" t="s">
        <v>382</v>
      </c>
      <c r="C125" s="52">
        <f>+C92+C108+C122</f>
        <v>180158161.48999998</v>
      </c>
      <c r="D125" s="53">
        <f>+D92+D108+D122</f>
        <v>0</v>
      </c>
    </row>
    <row r="126" spans="1:4" ht="12" customHeight="1" thickBot="1">
      <c r="A126" s="50" t="s">
        <v>233</v>
      </c>
      <c r="B126" s="119" t="s">
        <v>383</v>
      </c>
      <c r="C126" s="52">
        <f>+C127+C128+C129</f>
        <v>600000</v>
      </c>
      <c r="D126" s="53">
        <f>+D127+D128+D129</f>
        <v>0</v>
      </c>
    </row>
    <row r="127" spans="1:4" s="101" customFormat="1" ht="12" customHeight="1">
      <c r="A127" s="54" t="s">
        <v>235</v>
      </c>
      <c r="B127" s="120" t="s">
        <v>384</v>
      </c>
      <c r="C127" s="453">
        <f>Önkormányzat!AV122</f>
        <v>600000</v>
      </c>
      <c r="D127" s="67"/>
    </row>
    <row r="128" spans="1:4" ht="12" customHeight="1">
      <c r="A128" s="54" t="s">
        <v>237</v>
      </c>
      <c r="B128" s="120" t="s">
        <v>385</v>
      </c>
      <c r="C128" s="454"/>
      <c r="D128" s="67"/>
    </row>
    <row r="129" spans="1:11" ht="12" customHeight="1" thickBot="1">
      <c r="A129" s="110" t="s">
        <v>239</v>
      </c>
      <c r="B129" s="121" t="s">
        <v>386</v>
      </c>
      <c r="C129" s="596"/>
      <c r="D129" s="67"/>
    </row>
    <row r="130" spans="1:11" ht="12" customHeight="1" thickBot="1">
      <c r="A130" s="50" t="s">
        <v>255</v>
      </c>
      <c r="B130" s="119" t="s">
        <v>387</v>
      </c>
      <c r="C130" s="52">
        <f>+C131+C132+C133+C134</f>
        <v>0</v>
      </c>
      <c r="D130" s="53">
        <f>+D131+D132+D133+D134</f>
        <v>0</v>
      </c>
    </row>
    <row r="131" spans="1:11" ht="12" customHeight="1">
      <c r="A131" s="54" t="s">
        <v>257</v>
      </c>
      <c r="B131" s="120" t="s">
        <v>388</v>
      </c>
      <c r="C131" s="454"/>
      <c r="D131" s="67"/>
    </row>
    <row r="132" spans="1:11" ht="12" customHeight="1">
      <c r="A132" s="54" t="s">
        <v>259</v>
      </c>
      <c r="B132" s="120" t="s">
        <v>389</v>
      </c>
      <c r="C132" s="454"/>
      <c r="D132" s="67"/>
    </row>
    <row r="133" spans="1:11" ht="12" customHeight="1">
      <c r="A133" s="54" t="s">
        <v>261</v>
      </c>
      <c r="B133" s="120" t="s">
        <v>390</v>
      </c>
      <c r="C133" s="454"/>
      <c r="D133" s="67"/>
    </row>
    <row r="134" spans="1:11" s="101" customFormat="1" ht="12" customHeight="1" thickBot="1">
      <c r="A134" s="110" t="s">
        <v>263</v>
      </c>
      <c r="B134" s="121" t="s">
        <v>391</v>
      </c>
      <c r="C134" s="454"/>
      <c r="D134" s="67"/>
    </row>
    <row r="135" spans="1:11" ht="12" customHeight="1" thickBot="1">
      <c r="A135" s="50" t="s">
        <v>392</v>
      </c>
      <c r="B135" s="119" t="s">
        <v>393</v>
      </c>
      <c r="C135" s="69">
        <f>+C136+C137+C138+C139</f>
        <v>54446714</v>
      </c>
      <c r="D135" s="70">
        <f>+D136+D137+D138+D139</f>
        <v>0</v>
      </c>
      <c r="K135" s="122"/>
    </row>
    <row r="136" spans="1:11">
      <c r="A136" s="54" t="s">
        <v>269</v>
      </c>
      <c r="B136" s="120" t="s">
        <v>394</v>
      </c>
      <c r="C136" s="1887">
        <f>Önkormányzat!AV125</f>
        <v>50853063</v>
      </c>
      <c r="D136" s="67"/>
    </row>
    <row r="137" spans="1:11" ht="12" customHeight="1">
      <c r="A137" s="54" t="s">
        <v>271</v>
      </c>
      <c r="B137" s="120" t="s">
        <v>395</v>
      </c>
      <c r="C137" s="454">
        <f>Önkormányzat!AV124</f>
        <v>3593651</v>
      </c>
      <c r="D137" s="67"/>
    </row>
    <row r="138" spans="1:11" s="101" customFormat="1" ht="12" customHeight="1">
      <c r="A138" s="54" t="s">
        <v>273</v>
      </c>
      <c r="B138" s="120" t="s">
        <v>396</v>
      </c>
      <c r="C138" s="454"/>
      <c r="D138" s="67"/>
    </row>
    <row r="139" spans="1:11" s="101" customFormat="1" ht="12" customHeight="1" thickBot="1">
      <c r="A139" s="110" t="s">
        <v>275</v>
      </c>
      <c r="B139" s="121" t="s">
        <v>397</v>
      </c>
      <c r="C139" s="454"/>
      <c r="D139" s="67"/>
    </row>
    <row r="140" spans="1:11" s="101" customFormat="1" ht="12" customHeight="1" thickBot="1">
      <c r="A140" s="50" t="s">
        <v>277</v>
      </c>
      <c r="B140" s="119" t="s">
        <v>398</v>
      </c>
      <c r="C140" s="123">
        <f>+C141+C142+C143+C144</f>
        <v>0</v>
      </c>
      <c r="D140" s="124">
        <f>+D141+D142+D143+D144</f>
        <v>0</v>
      </c>
    </row>
    <row r="141" spans="1:11" s="101" customFormat="1" ht="12" customHeight="1">
      <c r="A141" s="54" t="s">
        <v>279</v>
      </c>
      <c r="B141" s="120" t="s">
        <v>399</v>
      </c>
      <c r="C141" s="454"/>
      <c r="D141" s="67"/>
    </row>
    <row r="142" spans="1:11" s="101" customFormat="1" ht="12" customHeight="1">
      <c r="A142" s="54" t="s">
        <v>281</v>
      </c>
      <c r="B142" s="120" t="s">
        <v>400</v>
      </c>
      <c r="C142" s="454"/>
      <c r="D142" s="67"/>
    </row>
    <row r="143" spans="1:11" s="101" customFormat="1" ht="12" customHeight="1">
      <c r="A143" s="54" t="s">
        <v>283</v>
      </c>
      <c r="B143" s="120" t="s">
        <v>401</v>
      </c>
      <c r="C143" s="454"/>
      <c r="D143" s="67"/>
    </row>
    <row r="144" spans="1:11" ht="12.75" customHeight="1" thickBot="1">
      <c r="A144" s="54" t="s">
        <v>285</v>
      </c>
      <c r="B144" s="120" t="s">
        <v>402</v>
      </c>
      <c r="C144" s="454"/>
      <c r="D144" s="67"/>
    </row>
    <row r="145" spans="1:5" ht="12" customHeight="1" thickBot="1">
      <c r="A145" s="50" t="s">
        <v>287</v>
      </c>
      <c r="B145" s="119" t="s">
        <v>403</v>
      </c>
      <c r="C145" s="125">
        <f>+C126+C130+C135+C140</f>
        <v>55046714</v>
      </c>
      <c r="D145" s="126">
        <f>+D126+D130+D135+D140</f>
        <v>0</v>
      </c>
    </row>
    <row r="146" spans="1:5" ht="15" customHeight="1" thickBot="1">
      <c r="A146" s="127" t="s">
        <v>404</v>
      </c>
      <c r="B146" s="128" t="s">
        <v>405</v>
      </c>
      <c r="C146" s="125">
        <f>+C125+C145</f>
        <v>235204875.48999998</v>
      </c>
      <c r="D146" s="126">
        <f>+D125+D145</f>
        <v>0</v>
      </c>
    </row>
    <row r="148" spans="1:5" s="130" customFormat="1" ht="15.75">
      <c r="A148" s="1807" t="s">
        <v>406</v>
      </c>
      <c r="B148" s="1807"/>
      <c r="C148" s="1807"/>
      <c r="D148" s="129"/>
      <c r="E148" s="129"/>
    </row>
    <row r="149" spans="1:5" s="130" customFormat="1" ht="15" customHeight="1" thickBot="1">
      <c r="A149" s="1808"/>
      <c r="B149" s="1808"/>
      <c r="C149" s="1809" t="s">
        <v>647</v>
      </c>
      <c r="D149" s="1809"/>
      <c r="E149" s="129"/>
    </row>
    <row r="150" spans="1:5" s="130" customFormat="1" ht="24.95" customHeight="1" thickBot="1">
      <c r="A150" s="131">
        <v>1</v>
      </c>
      <c r="B150" s="132" t="s">
        <v>407</v>
      </c>
      <c r="C150" s="133">
        <f>C64-C125</f>
        <v>-27848721.539999962</v>
      </c>
      <c r="D150" s="77">
        <f>D64-D125</f>
        <v>0</v>
      </c>
      <c r="E150" s="134">
        <f>+E63-E125</f>
        <v>0</v>
      </c>
    </row>
    <row r="151" spans="1:5" s="130" customFormat="1" ht="27.75" customHeight="1" thickBot="1">
      <c r="A151" s="131" t="s">
        <v>198</v>
      </c>
      <c r="B151" s="132" t="s">
        <v>408</v>
      </c>
      <c r="C151" s="133">
        <f>C87-C145</f>
        <v>27848721</v>
      </c>
      <c r="D151" s="77">
        <f>D87-D145</f>
        <v>0</v>
      </c>
      <c r="E151" s="134">
        <f>+E86-E145</f>
        <v>0</v>
      </c>
    </row>
    <row r="152" spans="1:5" ht="13.5" thickBot="1"/>
    <row r="153" spans="1:5" ht="25.15" customHeight="1">
      <c r="A153" s="1803" t="s">
        <v>654</v>
      </c>
      <c r="B153" s="1804"/>
      <c r="C153" s="1015">
        <v>6</v>
      </c>
      <c r="D153" s="1016"/>
    </row>
    <row r="154" spans="1:5" ht="25.15" customHeight="1" thickBot="1">
      <c r="A154" s="1805" t="s">
        <v>655</v>
      </c>
      <c r="B154" s="1806"/>
      <c r="C154" s="1017">
        <v>6</v>
      </c>
      <c r="D154" s="1018"/>
    </row>
  </sheetData>
  <sheetProtection selectLockedCells="1" selectUnlockedCells="1"/>
  <mergeCells count="11">
    <mergeCell ref="A148:C148"/>
    <mergeCell ref="A149:B149"/>
    <mergeCell ref="C149:D149"/>
    <mergeCell ref="A153:B153"/>
    <mergeCell ref="A154:B154"/>
    <mergeCell ref="A1:D1"/>
    <mergeCell ref="C2:D2"/>
    <mergeCell ref="C3:D3"/>
    <mergeCell ref="C4:D4"/>
    <mergeCell ref="A7:D7"/>
    <mergeCell ref="A91:D9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r:id="rId1"/>
  <headerFooter alignWithMargins="0"/>
  <rowBreaks count="3" manualBreakCount="3">
    <brk id="69" max="3" man="1"/>
    <brk id="88" max="16383" man="1"/>
    <brk id="151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K154"/>
  <sheetViews>
    <sheetView view="pageBreakPreview" topLeftCell="A85" zoomScaleNormal="100" zoomScaleSheetLayoutView="100" workbookViewId="0">
      <selection activeCell="C155" sqref="C155"/>
    </sheetView>
  </sheetViews>
  <sheetFormatPr defaultColWidth="9.140625" defaultRowHeight="12.75"/>
  <cols>
    <col min="1" max="1" width="16.7109375" style="135" customWidth="1"/>
    <col min="2" max="2" width="52.5703125" style="136" customWidth="1"/>
    <col min="3" max="3" width="11" style="137" customWidth="1"/>
    <col min="4" max="4" width="13.42578125" style="137" customWidth="1"/>
    <col min="5" max="16384" width="9.140625" style="44"/>
  </cols>
  <sheetData>
    <row r="1" spans="1:4" s="31" customFormat="1" ht="16.5" customHeight="1" thickBot="1">
      <c r="A1" s="1796" t="s">
        <v>810</v>
      </c>
      <c r="B1" s="1796"/>
      <c r="C1" s="1796"/>
      <c r="D1" s="1796"/>
    </row>
    <row r="2" spans="1:4" s="34" customFormat="1" ht="21" customHeight="1">
      <c r="A2" s="32" t="s">
        <v>176</v>
      </c>
      <c r="B2" s="33" t="s">
        <v>177</v>
      </c>
      <c r="C2" s="1797" t="s">
        <v>178</v>
      </c>
      <c r="D2" s="1798"/>
    </row>
    <row r="3" spans="1:4" s="34" customFormat="1" ht="16.5" thickBot="1">
      <c r="A3" s="35" t="s">
        <v>179</v>
      </c>
      <c r="B3" s="36" t="s">
        <v>180</v>
      </c>
      <c r="C3" s="1799">
        <v>1</v>
      </c>
      <c r="D3" s="1800"/>
    </row>
    <row r="4" spans="1:4" s="39" customFormat="1" ht="15.95" customHeight="1" thickBot="1">
      <c r="A4" s="37"/>
      <c r="B4" s="38"/>
      <c r="C4" s="1801" t="s">
        <v>644</v>
      </c>
      <c r="D4" s="1802"/>
    </row>
    <row r="5" spans="1:4" ht="36.75" thickBot="1">
      <c r="A5" s="1699" t="s">
        <v>181</v>
      </c>
      <c r="B5" s="41" t="s">
        <v>182</v>
      </c>
      <c r="C5" s="42" t="s">
        <v>771</v>
      </c>
      <c r="D5" s="43" t="s">
        <v>772</v>
      </c>
    </row>
    <row r="6" spans="1:4" s="49" customFormat="1" ht="12.95" customHeight="1" thickBot="1">
      <c r="A6" s="45">
        <v>1</v>
      </c>
      <c r="B6" s="46">
        <v>2</v>
      </c>
      <c r="C6" s="47">
        <v>3</v>
      </c>
      <c r="D6" s="48">
        <v>4</v>
      </c>
    </row>
    <row r="7" spans="1:4" s="49" customFormat="1" ht="15.95" customHeight="1" thickBot="1">
      <c r="A7" s="1793" t="s">
        <v>183</v>
      </c>
      <c r="B7" s="1794"/>
      <c r="C7" s="1794"/>
      <c r="D7" s="1795"/>
    </row>
    <row r="8" spans="1:4" s="49" customFormat="1" ht="12" customHeight="1" thickBot="1">
      <c r="A8" s="50" t="s">
        <v>184</v>
      </c>
      <c r="B8" s="51" t="s">
        <v>185</v>
      </c>
      <c r="C8" s="52">
        <f>+C9+C10+C11+C12+C13+C14</f>
        <v>0</v>
      </c>
      <c r="D8" s="53">
        <f>+D9+D10+D11+D12+D13+D14</f>
        <v>0</v>
      </c>
    </row>
    <row r="9" spans="1:4" s="58" customFormat="1" ht="12" customHeight="1">
      <c r="A9" s="54" t="s">
        <v>186</v>
      </c>
      <c r="B9" s="55" t="s">
        <v>187</v>
      </c>
      <c r="C9" s="56"/>
      <c r="D9" s="57"/>
    </row>
    <row r="10" spans="1:4" s="62" customFormat="1" ht="12" customHeight="1">
      <c r="A10" s="59" t="s">
        <v>188</v>
      </c>
      <c r="B10" s="60" t="s">
        <v>189</v>
      </c>
      <c r="C10" s="56"/>
      <c r="D10" s="61"/>
    </row>
    <row r="11" spans="1:4" s="62" customFormat="1" ht="12" customHeight="1">
      <c r="A11" s="59" t="s">
        <v>190</v>
      </c>
      <c r="B11" s="60" t="s">
        <v>191</v>
      </c>
      <c r="C11" s="56"/>
      <c r="D11" s="61"/>
    </row>
    <row r="12" spans="1:4" s="62" customFormat="1" ht="12" customHeight="1">
      <c r="A12" s="59" t="s">
        <v>192</v>
      </c>
      <c r="B12" s="60" t="s">
        <v>193</v>
      </c>
      <c r="C12" s="56"/>
      <c r="D12" s="61"/>
    </row>
    <row r="13" spans="1:4" s="62" customFormat="1" ht="12" customHeight="1">
      <c r="A13" s="59" t="s">
        <v>194</v>
      </c>
      <c r="B13" s="60" t="s">
        <v>195</v>
      </c>
      <c r="C13" s="56"/>
      <c r="D13" s="61"/>
    </row>
    <row r="14" spans="1:4" s="58" customFormat="1" ht="12" customHeight="1" thickBot="1">
      <c r="A14" s="63" t="s">
        <v>196</v>
      </c>
      <c r="B14" s="64" t="s">
        <v>197</v>
      </c>
      <c r="C14" s="56"/>
      <c r="D14" s="61"/>
    </row>
    <row r="15" spans="1:4" s="58" customFormat="1" ht="23.25" customHeight="1" thickBot="1">
      <c r="A15" s="50" t="s">
        <v>198</v>
      </c>
      <c r="B15" s="65" t="s">
        <v>199</v>
      </c>
      <c r="C15" s="52">
        <f>+C16+C17+C18+C19+C20</f>
        <v>0</v>
      </c>
      <c r="D15" s="53">
        <f>+D16+D17+D18+D19+D20</f>
        <v>0</v>
      </c>
    </row>
    <row r="16" spans="1:4" s="58" customFormat="1" ht="12" customHeight="1">
      <c r="A16" s="54" t="s">
        <v>200</v>
      </c>
      <c r="B16" s="55" t="s">
        <v>201</v>
      </c>
      <c r="C16" s="56"/>
      <c r="D16" s="66"/>
    </row>
    <row r="17" spans="1:4" s="58" customFormat="1" ht="12" customHeight="1">
      <c r="A17" s="59" t="s">
        <v>202</v>
      </c>
      <c r="B17" s="60" t="s">
        <v>203</v>
      </c>
      <c r="C17" s="56"/>
      <c r="D17" s="67"/>
    </row>
    <row r="18" spans="1:4" s="58" customFormat="1" ht="12" customHeight="1">
      <c r="A18" s="59" t="s">
        <v>204</v>
      </c>
      <c r="B18" s="60" t="s">
        <v>205</v>
      </c>
      <c r="C18" s="56"/>
      <c r="D18" s="67"/>
    </row>
    <row r="19" spans="1:4" s="58" customFormat="1" ht="12" customHeight="1">
      <c r="A19" s="59" t="s">
        <v>206</v>
      </c>
      <c r="B19" s="60" t="s">
        <v>207</v>
      </c>
      <c r="C19" s="56"/>
      <c r="D19" s="67"/>
    </row>
    <row r="20" spans="1:4" s="58" customFormat="1" ht="12" customHeight="1">
      <c r="A20" s="59" t="s">
        <v>208</v>
      </c>
      <c r="B20" s="60" t="s">
        <v>209</v>
      </c>
      <c r="C20" s="56"/>
      <c r="D20" s="61"/>
    </row>
    <row r="21" spans="1:4" s="62" customFormat="1" ht="12" customHeight="1" thickBot="1">
      <c r="A21" s="63" t="s">
        <v>210</v>
      </c>
      <c r="B21" s="64" t="s">
        <v>211</v>
      </c>
      <c r="C21" s="56"/>
      <c r="D21" s="68"/>
    </row>
    <row r="22" spans="1:4" s="62" customFormat="1" ht="22.5" customHeight="1" thickBot="1">
      <c r="A22" s="50" t="s">
        <v>212</v>
      </c>
      <c r="B22" s="51" t="s">
        <v>213</v>
      </c>
      <c r="C22" s="52">
        <f>+C23+C24+C25+C26+C27</f>
        <v>0</v>
      </c>
      <c r="D22" s="53">
        <f>+D23+D24+D25+D26+D27</f>
        <v>0</v>
      </c>
    </row>
    <row r="23" spans="1:4" s="62" customFormat="1" ht="12" customHeight="1">
      <c r="A23" s="54" t="s">
        <v>214</v>
      </c>
      <c r="B23" s="55" t="s">
        <v>215</v>
      </c>
      <c r="C23" s="56"/>
      <c r="D23" s="66"/>
    </row>
    <row r="24" spans="1:4" s="58" customFormat="1" ht="12" customHeight="1">
      <c r="A24" s="59" t="s">
        <v>216</v>
      </c>
      <c r="B24" s="60" t="s">
        <v>217</v>
      </c>
      <c r="C24" s="56"/>
      <c r="D24" s="67"/>
    </row>
    <row r="25" spans="1:4" s="62" customFormat="1" ht="12" customHeight="1">
      <c r="A25" s="59" t="s">
        <v>218</v>
      </c>
      <c r="B25" s="60" t="s">
        <v>219</v>
      </c>
      <c r="C25" s="56"/>
      <c r="D25" s="67"/>
    </row>
    <row r="26" spans="1:4" s="62" customFormat="1" ht="12" customHeight="1">
      <c r="A26" s="59" t="s">
        <v>220</v>
      </c>
      <c r="B26" s="60" t="s">
        <v>221</v>
      </c>
      <c r="C26" s="56"/>
      <c r="D26" s="67"/>
    </row>
    <row r="27" spans="1:4" s="62" customFormat="1" ht="12" customHeight="1">
      <c r="A27" s="59" t="s">
        <v>222</v>
      </c>
      <c r="B27" s="60" t="s">
        <v>223</v>
      </c>
      <c r="C27" s="56"/>
      <c r="D27" s="61"/>
    </row>
    <row r="28" spans="1:4" s="62" customFormat="1" ht="12" customHeight="1" thickBot="1">
      <c r="A28" s="63" t="s">
        <v>224</v>
      </c>
      <c r="B28" s="64" t="s">
        <v>225</v>
      </c>
      <c r="C28" s="56"/>
      <c r="D28" s="68"/>
    </row>
    <row r="29" spans="1:4" s="62" customFormat="1" ht="12" customHeight="1" thickBot="1">
      <c r="A29" s="50" t="s">
        <v>226</v>
      </c>
      <c r="B29" s="51" t="s">
        <v>227</v>
      </c>
      <c r="C29" s="69">
        <f>+C30+C36</f>
        <v>2592000</v>
      </c>
      <c r="D29" s="70">
        <f>+D30+D34+D35+D36</f>
        <v>0</v>
      </c>
    </row>
    <row r="30" spans="1:4" s="62" customFormat="1" ht="12" customHeight="1">
      <c r="A30" s="54" t="s">
        <v>228</v>
      </c>
      <c r="B30" s="55" t="s">
        <v>552</v>
      </c>
      <c r="C30" s="71">
        <f>SUM(C31:C35)</f>
        <v>2592000</v>
      </c>
      <c r="D30" s="72"/>
    </row>
    <row r="31" spans="1:4" s="62" customFormat="1" ht="12" customHeight="1">
      <c r="A31" s="59" t="s">
        <v>229</v>
      </c>
      <c r="B31" s="452" t="s">
        <v>599</v>
      </c>
      <c r="C31" s="56"/>
      <c r="D31" s="72"/>
    </row>
    <row r="32" spans="1:4" s="62" customFormat="1" ht="12" customHeight="1">
      <c r="A32" s="59" t="s">
        <v>231</v>
      </c>
      <c r="B32" s="60" t="s">
        <v>230</v>
      </c>
      <c r="C32" s="56"/>
      <c r="D32" s="61"/>
    </row>
    <row r="33" spans="1:4" s="62" customFormat="1" ht="12" customHeight="1">
      <c r="A33" s="59" t="s">
        <v>549</v>
      </c>
      <c r="B33" s="452" t="s">
        <v>550</v>
      </c>
      <c r="C33" s="56">
        <v>2592000</v>
      </c>
      <c r="D33" s="61"/>
    </row>
    <row r="34" spans="1:4" s="62" customFormat="1" ht="12" customHeight="1">
      <c r="A34" s="59" t="s">
        <v>551</v>
      </c>
      <c r="B34" s="452" t="s">
        <v>548</v>
      </c>
      <c r="C34" s="56"/>
      <c r="D34" s="61"/>
    </row>
    <row r="35" spans="1:4" s="62" customFormat="1" ht="12" customHeight="1">
      <c r="A35" s="59" t="s">
        <v>597</v>
      </c>
      <c r="B35" s="452" t="s">
        <v>598</v>
      </c>
      <c r="C35" s="56"/>
      <c r="D35" s="61"/>
    </row>
    <row r="36" spans="1:4" s="62" customFormat="1" ht="12" customHeight="1" thickBot="1">
      <c r="A36" s="63" t="s">
        <v>232</v>
      </c>
      <c r="B36" s="64" t="s">
        <v>6</v>
      </c>
      <c r="C36" s="56"/>
      <c r="D36" s="73"/>
    </row>
    <row r="37" spans="1:4" s="62" customFormat="1" ht="12" customHeight="1" thickBot="1">
      <c r="A37" s="50" t="s">
        <v>233</v>
      </c>
      <c r="B37" s="51" t="s">
        <v>234</v>
      </c>
      <c r="C37" s="52">
        <f>SUM(C38:C47)</f>
        <v>0</v>
      </c>
      <c r="D37" s="53">
        <f>SUM(D38:D47)</f>
        <v>0</v>
      </c>
    </row>
    <row r="38" spans="1:4" s="62" customFormat="1" ht="12" customHeight="1">
      <c r="A38" s="54" t="s">
        <v>235</v>
      </c>
      <c r="B38" s="55" t="s">
        <v>236</v>
      </c>
      <c r="C38" s="56"/>
      <c r="D38" s="67"/>
    </row>
    <row r="39" spans="1:4" s="62" customFormat="1" ht="12" customHeight="1">
      <c r="A39" s="59" t="s">
        <v>237</v>
      </c>
      <c r="B39" s="60" t="s">
        <v>238</v>
      </c>
      <c r="C39" s="56"/>
      <c r="D39" s="67"/>
    </row>
    <row r="40" spans="1:4" s="62" customFormat="1" ht="12" customHeight="1">
      <c r="A40" s="59" t="s">
        <v>239</v>
      </c>
      <c r="B40" s="60" t="s">
        <v>240</v>
      </c>
      <c r="C40" s="56"/>
      <c r="D40" s="67"/>
    </row>
    <row r="41" spans="1:4" s="62" customFormat="1" ht="12" customHeight="1">
      <c r="A41" s="59" t="s">
        <v>241</v>
      </c>
      <c r="B41" s="60" t="s">
        <v>242</v>
      </c>
      <c r="C41" s="56"/>
      <c r="D41" s="67"/>
    </row>
    <row r="42" spans="1:4" s="62" customFormat="1" ht="12" customHeight="1">
      <c r="A42" s="59" t="s">
        <v>243</v>
      </c>
      <c r="B42" s="60" t="s">
        <v>244</v>
      </c>
      <c r="C42" s="56"/>
      <c r="D42" s="67"/>
    </row>
    <row r="43" spans="1:4" s="62" customFormat="1" ht="12" customHeight="1">
      <c r="A43" s="59" t="s">
        <v>245</v>
      </c>
      <c r="B43" s="60" t="s">
        <v>246</v>
      </c>
      <c r="C43" s="56"/>
      <c r="D43" s="67"/>
    </row>
    <row r="44" spans="1:4" s="62" customFormat="1" ht="12" customHeight="1">
      <c r="A44" s="59" t="s">
        <v>247</v>
      </c>
      <c r="B44" s="60" t="s">
        <v>248</v>
      </c>
      <c r="C44" s="56"/>
      <c r="D44" s="67"/>
    </row>
    <row r="45" spans="1:4" s="62" customFormat="1" ht="12" customHeight="1">
      <c r="A45" s="59" t="s">
        <v>249</v>
      </c>
      <c r="B45" s="60" t="s">
        <v>250</v>
      </c>
      <c r="C45" s="56"/>
      <c r="D45" s="67"/>
    </row>
    <row r="46" spans="1:4" s="62" customFormat="1" ht="12" customHeight="1">
      <c r="A46" s="59" t="s">
        <v>251</v>
      </c>
      <c r="B46" s="60" t="s">
        <v>252</v>
      </c>
      <c r="C46" s="56"/>
      <c r="D46" s="74"/>
    </row>
    <row r="47" spans="1:4" s="62" customFormat="1" ht="12" customHeight="1" thickBot="1">
      <c r="A47" s="63" t="s">
        <v>253</v>
      </c>
      <c r="B47" s="64" t="s">
        <v>254</v>
      </c>
      <c r="C47" s="56"/>
      <c r="D47" s="75"/>
    </row>
    <row r="48" spans="1:4" s="62" customFormat="1" ht="12" customHeight="1" thickBot="1">
      <c r="A48" s="50" t="s">
        <v>255</v>
      </c>
      <c r="B48" s="51" t="s">
        <v>256</v>
      </c>
      <c r="C48" s="52">
        <f>SUM(C49:C53)</f>
        <v>0</v>
      </c>
      <c r="D48" s="53">
        <f>SUM(D49:D53)</f>
        <v>0</v>
      </c>
    </row>
    <row r="49" spans="1:4" s="62" customFormat="1" ht="12" customHeight="1">
      <c r="A49" s="54" t="s">
        <v>257</v>
      </c>
      <c r="B49" s="55" t="s">
        <v>258</v>
      </c>
      <c r="C49" s="56"/>
      <c r="D49" s="76"/>
    </row>
    <row r="50" spans="1:4" s="62" customFormat="1" ht="12" customHeight="1">
      <c r="A50" s="59" t="s">
        <v>259</v>
      </c>
      <c r="B50" s="60" t="s">
        <v>260</v>
      </c>
      <c r="C50" s="56"/>
      <c r="D50" s="74"/>
    </row>
    <row r="51" spans="1:4" s="62" customFormat="1" ht="12" customHeight="1">
      <c r="A51" s="59" t="s">
        <v>261</v>
      </c>
      <c r="B51" s="60" t="s">
        <v>262</v>
      </c>
      <c r="C51" s="56"/>
      <c r="D51" s="74"/>
    </row>
    <row r="52" spans="1:4" s="62" customFormat="1" ht="12" customHeight="1">
      <c r="A52" s="59" t="s">
        <v>263</v>
      </c>
      <c r="B52" s="60" t="s">
        <v>264</v>
      </c>
      <c r="C52" s="56"/>
      <c r="D52" s="74"/>
    </row>
    <row r="53" spans="1:4" s="62" customFormat="1" ht="12" customHeight="1" thickBot="1">
      <c r="A53" s="63" t="s">
        <v>265</v>
      </c>
      <c r="B53" s="64" t="s">
        <v>266</v>
      </c>
      <c r="C53" s="56"/>
      <c r="D53" s="75"/>
    </row>
    <row r="54" spans="1:4" s="62" customFormat="1" ht="12" customHeight="1" thickBot="1">
      <c r="A54" s="50" t="s">
        <v>267</v>
      </c>
      <c r="B54" s="51" t="s">
        <v>268</v>
      </c>
      <c r="C54" s="52">
        <f>SUM(C55:C57)</f>
        <v>0</v>
      </c>
      <c r="D54" s="53">
        <f>SUM(D55:D57)</f>
        <v>0</v>
      </c>
    </row>
    <row r="55" spans="1:4" s="62" customFormat="1" ht="12" customHeight="1">
      <c r="A55" s="54" t="s">
        <v>269</v>
      </c>
      <c r="B55" s="55" t="s">
        <v>270</v>
      </c>
      <c r="C55" s="56"/>
      <c r="D55" s="66"/>
    </row>
    <row r="56" spans="1:4" s="62" customFormat="1" ht="12" customHeight="1">
      <c r="A56" s="59" t="s">
        <v>271</v>
      </c>
      <c r="B56" s="60" t="s">
        <v>272</v>
      </c>
      <c r="C56" s="56"/>
      <c r="D56" s="67"/>
    </row>
    <row r="57" spans="1:4" s="62" customFormat="1" ht="12" customHeight="1">
      <c r="A57" s="59" t="s">
        <v>273</v>
      </c>
      <c r="B57" s="60" t="s">
        <v>274</v>
      </c>
      <c r="C57" s="56"/>
      <c r="D57" s="61"/>
    </row>
    <row r="58" spans="1:4" s="62" customFormat="1" ht="12" customHeight="1" thickBot="1">
      <c r="A58" s="63" t="s">
        <v>275</v>
      </c>
      <c r="B58" s="64" t="s">
        <v>276</v>
      </c>
      <c r="C58" s="56"/>
      <c r="D58" s="73"/>
    </row>
    <row r="59" spans="1:4" s="62" customFormat="1" ht="12" customHeight="1" thickBot="1">
      <c r="A59" s="50" t="s">
        <v>277</v>
      </c>
      <c r="B59" s="65" t="s">
        <v>278</v>
      </c>
      <c r="C59" s="52">
        <f>SUM(C60:C62)</f>
        <v>0</v>
      </c>
      <c r="D59" s="77">
        <f>SUM(D60:D62)</f>
        <v>0</v>
      </c>
    </row>
    <row r="60" spans="1:4" s="62" customFormat="1" ht="12" customHeight="1">
      <c r="A60" s="54" t="s">
        <v>279</v>
      </c>
      <c r="B60" s="55" t="s">
        <v>280</v>
      </c>
      <c r="C60" s="56"/>
      <c r="D60" s="61"/>
    </row>
    <row r="61" spans="1:4" s="62" customFormat="1" ht="12" customHeight="1">
      <c r="A61" s="59" t="s">
        <v>281</v>
      </c>
      <c r="B61" s="60" t="s">
        <v>282</v>
      </c>
      <c r="C61" s="56"/>
      <c r="D61" s="67"/>
    </row>
    <row r="62" spans="1:4" s="62" customFormat="1" ht="12" customHeight="1">
      <c r="A62" s="59" t="s">
        <v>283</v>
      </c>
      <c r="B62" s="60" t="s">
        <v>284</v>
      </c>
      <c r="C62" s="56"/>
      <c r="D62" s="67"/>
    </row>
    <row r="63" spans="1:4" s="62" customFormat="1" ht="12" customHeight="1" thickBot="1">
      <c r="A63" s="63" t="s">
        <v>285</v>
      </c>
      <c r="B63" s="64" t="s">
        <v>286</v>
      </c>
      <c r="C63" s="56"/>
      <c r="D63" s="74"/>
    </row>
    <row r="64" spans="1:4" s="62" customFormat="1" ht="12" customHeight="1" thickBot="1">
      <c r="A64" s="50" t="s">
        <v>287</v>
      </c>
      <c r="B64" s="51" t="s">
        <v>288</v>
      </c>
      <c r="C64" s="69">
        <f>+C8+C15+C22+C29+C37+C48+C54+C59</f>
        <v>2592000</v>
      </c>
      <c r="D64" s="70">
        <f>+D8+D15+D22+D29+D37+D48+D54+D59</f>
        <v>0</v>
      </c>
    </row>
    <row r="65" spans="1:4" s="62" customFormat="1" ht="12" customHeight="1" thickBot="1">
      <c r="A65" s="78" t="s">
        <v>289</v>
      </c>
      <c r="B65" s="65" t="s">
        <v>290</v>
      </c>
      <c r="C65" s="52">
        <f>SUM(C66:C68)</f>
        <v>0</v>
      </c>
      <c r="D65" s="53">
        <f>SUM(D66:D68)</f>
        <v>0</v>
      </c>
    </row>
    <row r="66" spans="1:4" s="62" customFormat="1" ht="12" customHeight="1">
      <c r="A66" s="54" t="s">
        <v>291</v>
      </c>
      <c r="B66" s="55" t="s">
        <v>292</v>
      </c>
      <c r="C66" s="56"/>
      <c r="D66" s="74"/>
    </row>
    <row r="67" spans="1:4" s="62" customFormat="1" ht="12" customHeight="1">
      <c r="A67" s="59" t="s">
        <v>293</v>
      </c>
      <c r="B67" s="60" t="s">
        <v>294</v>
      </c>
      <c r="C67" s="56"/>
      <c r="D67" s="74"/>
    </row>
    <row r="68" spans="1:4" s="62" customFormat="1" ht="12" customHeight="1" thickBot="1">
      <c r="A68" s="63" t="s">
        <v>295</v>
      </c>
      <c r="B68" s="79" t="s">
        <v>296</v>
      </c>
      <c r="C68" s="56"/>
      <c r="D68" s="74"/>
    </row>
    <row r="69" spans="1:4" s="62" customFormat="1" ht="12" customHeight="1" thickBot="1">
      <c r="A69" s="78" t="s">
        <v>297</v>
      </c>
      <c r="B69" s="65" t="s">
        <v>298</v>
      </c>
      <c r="C69" s="52">
        <f>SUM(C70:C73)</f>
        <v>0</v>
      </c>
      <c r="D69" s="53">
        <f>SUM(D70:D73)</f>
        <v>0</v>
      </c>
    </row>
    <row r="70" spans="1:4" s="62" customFormat="1" ht="12" customHeight="1">
      <c r="A70" s="54" t="s">
        <v>299</v>
      </c>
      <c r="B70" s="55" t="s">
        <v>300</v>
      </c>
      <c r="C70" s="56"/>
      <c r="D70" s="74"/>
    </row>
    <row r="71" spans="1:4" s="62" customFormat="1" ht="12" customHeight="1">
      <c r="A71" s="59" t="s">
        <v>301</v>
      </c>
      <c r="B71" s="60" t="s">
        <v>302</v>
      </c>
      <c r="C71" s="56"/>
      <c r="D71" s="74"/>
    </row>
    <row r="72" spans="1:4" s="62" customFormat="1" ht="12" customHeight="1">
      <c r="A72" s="59" t="s">
        <v>303</v>
      </c>
      <c r="B72" s="60" t="s">
        <v>304</v>
      </c>
      <c r="C72" s="56"/>
      <c r="D72" s="74"/>
    </row>
    <row r="73" spans="1:4" s="62" customFormat="1" ht="12" customHeight="1" thickBot="1">
      <c r="A73" s="80" t="s">
        <v>305</v>
      </c>
      <c r="B73" s="81" t="s">
        <v>306</v>
      </c>
      <c r="C73" s="56"/>
      <c r="D73" s="82"/>
    </row>
    <row r="74" spans="1:4" s="62" customFormat="1" ht="12" customHeight="1" thickBot="1">
      <c r="A74" s="78" t="s">
        <v>307</v>
      </c>
      <c r="B74" s="65" t="s">
        <v>308</v>
      </c>
      <c r="C74" s="52">
        <f>SUM(C75:C76)</f>
        <v>0</v>
      </c>
      <c r="D74" s="53">
        <f>SUM(D75:D76)</f>
        <v>0</v>
      </c>
    </row>
    <row r="75" spans="1:4" s="62" customFormat="1" ht="12" customHeight="1">
      <c r="A75" s="54" t="s">
        <v>309</v>
      </c>
      <c r="B75" s="55" t="s">
        <v>310</v>
      </c>
      <c r="C75" s="56"/>
      <c r="D75" s="74"/>
    </row>
    <row r="76" spans="1:4" s="62" customFormat="1" ht="12" customHeight="1" thickBot="1">
      <c r="A76" s="63" t="s">
        <v>311</v>
      </c>
      <c r="B76" s="64" t="s">
        <v>312</v>
      </c>
      <c r="C76" s="56"/>
      <c r="D76" s="74"/>
    </row>
    <row r="77" spans="1:4" s="58" customFormat="1" ht="12" customHeight="1" thickBot="1">
      <c r="A77" s="78" t="s">
        <v>313</v>
      </c>
      <c r="B77" s="65" t="s">
        <v>314</v>
      </c>
      <c r="C77" s="52">
        <f>SUM(C78:C80)</f>
        <v>0</v>
      </c>
      <c r="D77" s="53">
        <f>SUM(D78:D80)</f>
        <v>0</v>
      </c>
    </row>
    <row r="78" spans="1:4" s="62" customFormat="1" ht="12" customHeight="1">
      <c r="A78" s="54" t="s">
        <v>315</v>
      </c>
      <c r="B78" s="55" t="s">
        <v>316</v>
      </c>
      <c r="C78" s="56"/>
      <c r="D78" s="74"/>
    </row>
    <row r="79" spans="1:4" s="62" customFormat="1" ht="12" customHeight="1">
      <c r="A79" s="59" t="s">
        <v>317</v>
      </c>
      <c r="B79" s="60" t="s">
        <v>318</v>
      </c>
      <c r="C79" s="56"/>
      <c r="D79" s="74"/>
    </row>
    <row r="80" spans="1:4" s="62" customFormat="1" ht="12" customHeight="1" thickBot="1">
      <c r="A80" s="63" t="s">
        <v>319</v>
      </c>
      <c r="B80" s="64" t="s">
        <v>320</v>
      </c>
      <c r="C80" s="56"/>
      <c r="D80" s="74"/>
    </row>
    <row r="81" spans="1:4" s="62" customFormat="1" ht="12" customHeight="1" thickBot="1">
      <c r="A81" s="78" t="s">
        <v>321</v>
      </c>
      <c r="B81" s="65" t="s">
        <v>322</v>
      </c>
      <c r="C81" s="52">
        <f>SUM(C82:C85)</f>
        <v>0</v>
      </c>
      <c r="D81" s="53">
        <f>SUM(D82:D85)</f>
        <v>0</v>
      </c>
    </row>
    <row r="82" spans="1:4" s="62" customFormat="1" ht="12" customHeight="1">
      <c r="A82" s="83" t="s">
        <v>323</v>
      </c>
      <c r="B82" s="55" t="s">
        <v>324</v>
      </c>
      <c r="C82" s="56"/>
      <c r="D82" s="74"/>
    </row>
    <row r="83" spans="1:4" s="62" customFormat="1" ht="12" customHeight="1">
      <c r="A83" s="84" t="s">
        <v>325</v>
      </c>
      <c r="B83" s="60" t="s">
        <v>326</v>
      </c>
      <c r="C83" s="56"/>
      <c r="D83" s="74"/>
    </row>
    <row r="84" spans="1:4" s="62" customFormat="1" ht="12" customHeight="1">
      <c r="A84" s="84" t="s">
        <v>327</v>
      </c>
      <c r="B84" s="60" t="s">
        <v>328</v>
      </c>
      <c r="C84" s="56"/>
      <c r="D84" s="74"/>
    </row>
    <row r="85" spans="1:4" s="58" customFormat="1" ht="12" customHeight="1" thickBot="1">
      <c r="A85" s="85" t="s">
        <v>329</v>
      </c>
      <c r="B85" s="64" t="s">
        <v>330</v>
      </c>
      <c r="C85" s="56"/>
      <c r="D85" s="74"/>
    </row>
    <row r="86" spans="1:4" s="58" customFormat="1" ht="12" customHeight="1" thickBot="1">
      <c r="A86" s="78" t="s">
        <v>331</v>
      </c>
      <c r="B86" s="65" t="s">
        <v>332</v>
      </c>
      <c r="C86" s="86"/>
      <c r="D86" s="87"/>
    </row>
    <row r="87" spans="1:4" s="58" customFormat="1" ht="12" customHeight="1" thickBot="1">
      <c r="A87" s="78" t="s">
        <v>333</v>
      </c>
      <c r="B87" s="88" t="s">
        <v>334</v>
      </c>
      <c r="C87" s="69">
        <f>+C65+C69+C74+C77+C81+C86</f>
        <v>0</v>
      </c>
      <c r="D87" s="70">
        <f>+D65+D69+D74+D77+D81+D86</f>
        <v>0</v>
      </c>
    </row>
    <row r="88" spans="1:4" s="58" customFormat="1" ht="12" customHeight="1" thickBot="1">
      <c r="A88" s="89" t="s">
        <v>335</v>
      </c>
      <c r="B88" s="90" t="s">
        <v>336</v>
      </c>
      <c r="C88" s="69">
        <f>+C64+C87</f>
        <v>2592000</v>
      </c>
      <c r="D88" s="70">
        <f>+D64+D87</f>
        <v>0</v>
      </c>
    </row>
    <row r="89" spans="1:4" s="62" customFormat="1" ht="15" customHeight="1">
      <c r="A89" s="91"/>
      <c r="B89" s="92"/>
      <c r="C89" s="93"/>
      <c r="D89" s="93"/>
    </row>
    <row r="90" spans="1:4" ht="13.5" thickBot="1">
      <c r="A90" s="94"/>
      <c r="B90" s="95"/>
      <c r="C90" s="96"/>
      <c r="D90" s="96"/>
    </row>
    <row r="91" spans="1:4" s="49" customFormat="1" ht="16.5" customHeight="1" thickBot="1">
      <c r="A91" s="1793" t="s">
        <v>337</v>
      </c>
      <c r="B91" s="1794"/>
      <c r="C91" s="1794"/>
      <c r="D91" s="1795"/>
    </row>
    <row r="92" spans="1:4" s="101" customFormat="1" ht="12" customHeight="1" thickBot="1">
      <c r="A92" s="97" t="s">
        <v>184</v>
      </c>
      <c r="B92" s="98" t="s">
        <v>338</v>
      </c>
      <c r="C92" s="99">
        <f>SUM(C93:C97)</f>
        <v>2592000</v>
      </c>
      <c r="D92" s="100">
        <f>SUM(D93:D97)</f>
        <v>0</v>
      </c>
    </row>
    <row r="93" spans="1:4" ht="12" customHeight="1">
      <c r="A93" s="102" t="s">
        <v>186</v>
      </c>
      <c r="B93" s="103" t="s">
        <v>339</v>
      </c>
      <c r="C93" s="453"/>
      <c r="D93" s="104"/>
    </row>
    <row r="94" spans="1:4" ht="12" customHeight="1">
      <c r="A94" s="59" t="s">
        <v>188</v>
      </c>
      <c r="B94" s="105" t="s">
        <v>1</v>
      </c>
      <c r="C94" s="454"/>
      <c r="D94" s="67"/>
    </row>
    <row r="95" spans="1:4" ht="12" customHeight="1">
      <c r="A95" s="59" t="s">
        <v>190</v>
      </c>
      <c r="B95" s="105" t="s">
        <v>340</v>
      </c>
      <c r="C95" s="454"/>
      <c r="D95" s="68"/>
    </row>
    <row r="96" spans="1:4" ht="12" customHeight="1">
      <c r="A96" s="59" t="s">
        <v>192</v>
      </c>
      <c r="B96" s="106" t="s">
        <v>7</v>
      </c>
      <c r="C96" s="454"/>
      <c r="D96" s="68"/>
    </row>
    <row r="97" spans="1:4" ht="12" customHeight="1">
      <c r="A97" s="59" t="s">
        <v>341</v>
      </c>
      <c r="B97" s="107" t="s">
        <v>11</v>
      </c>
      <c r="C97" s="454">
        <f>SUM(C98:C107)</f>
        <v>2592000</v>
      </c>
      <c r="D97" s="68">
        <f>SUM(D98:D107)</f>
        <v>0</v>
      </c>
    </row>
    <row r="98" spans="1:4" ht="12" customHeight="1">
      <c r="A98" s="59" t="s">
        <v>196</v>
      </c>
      <c r="B98" s="105" t="s">
        <v>342</v>
      </c>
      <c r="C98" s="454"/>
      <c r="D98" s="68"/>
    </row>
    <row r="99" spans="1:4" ht="12" customHeight="1">
      <c r="A99" s="59" t="s">
        <v>343</v>
      </c>
      <c r="B99" s="108" t="s">
        <v>344</v>
      </c>
      <c r="C99" s="454"/>
      <c r="D99" s="68"/>
    </row>
    <row r="100" spans="1:4" ht="12" customHeight="1">
      <c r="A100" s="59" t="s">
        <v>345</v>
      </c>
      <c r="B100" s="109" t="s">
        <v>346</v>
      </c>
      <c r="C100" s="454"/>
      <c r="D100" s="68"/>
    </row>
    <row r="101" spans="1:4" ht="20.25" customHeight="1">
      <c r="A101" s="59" t="s">
        <v>347</v>
      </c>
      <c r="B101" s="109" t="s">
        <v>348</v>
      </c>
      <c r="C101" s="454"/>
      <c r="D101" s="68"/>
    </row>
    <row r="102" spans="1:4" ht="12" customHeight="1">
      <c r="A102" s="59" t="s">
        <v>349</v>
      </c>
      <c r="B102" s="108" t="s">
        <v>350</v>
      </c>
      <c r="C102" s="454"/>
      <c r="D102" s="68"/>
    </row>
    <row r="103" spans="1:4" ht="12" customHeight="1">
      <c r="A103" s="59" t="s">
        <v>351</v>
      </c>
      <c r="B103" s="108" t="s">
        <v>352</v>
      </c>
      <c r="C103" s="454"/>
      <c r="D103" s="68"/>
    </row>
    <row r="104" spans="1:4" ht="12" customHeight="1">
      <c r="A104" s="59" t="s">
        <v>353</v>
      </c>
      <c r="B104" s="109" t="s">
        <v>354</v>
      </c>
      <c r="C104" s="454"/>
      <c r="D104" s="68"/>
    </row>
    <row r="105" spans="1:4" ht="12" customHeight="1">
      <c r="A105" s="110" t="s">
        <v>355</v>
      </c>
      <c r="B105" s="111" t="s">
        <v>356</v>
      </c>
      <c r="C105" s="454"/>
      <c r="D105" s="68"/>
    </row>
    <row r="106" spans="1:4" ht="12" customHeight="1">
      <c r="A106" s="59" t="s">
        <v>357</v>
      </c>
      <c r="B106" s="111" t="s">
        <v>358</v>
      </c>
      <c r="C106" s="454"/>
      <c r="D106" s="68"/>
    </row>
    <row r="107" spans="1:4" ht="12" customHeight="1" thickBot="1">
      <c r="A107" s="80" t="s">
        <v>359</v>
      </c>
      <c r="B107" s="112" t="s">
        <v>360</v>
      </c>
      <c r="C107" s="596">
        <f>Önkormányzat!AV105</f>
        <v>2592000</v>
      </c>
      <c r="D107" s="113"/>
    </row>
    <row r="108" spans="1:4" ht="12" customHeight="1" thickBot="1">
      <c r="A108" s="50" t="s">
        <v>198</v>
      </c>
      <c r="B108" s="114" t="s">
        <v>361</v>
      </c>
      <c r="C108" s="52">
        <f>+C109+C111+C113</f>
        <v>0</v>
      </c>
      <c r="D108" s="53">
        <f>+D109+D111+D113</f>
        <v>0</v>
      </c>
    </row>
    <row r="109" spans="1:4" ht="12" customHeight="1">
      <c r="A109" s="54" t="s">
        <v>200</v>
      </c>
      <c r="B109" s="105" t="s">
        <v>3</v>
      </c>
      <c r="C109" s="453"/>
      <c r="D109" s="66"/>
    </row>
    <row r="110" spans="1:4" ht="12" customHeight="1">
      <c r="A110" s="54" t="s">
        <v>202</v>
      </c>
      <c r="B110" s="115" t="s">
        <v>362</v>
      </c>
      <c r="C110" s="454"/>
      <c r="D110" s="66"/>
    </row>
    <row r="111" spans="1:4" ht="12" customHeight="1">
      <c r="A111" s="54" t="s">
        <v>204</v>
      </c>
      <c r="B111" s="115" t="s">
        <v>8</v>
      </c>
      <c r="C111" s="454"/>
      <c r="D111" s="67"/>
    </row>
    <row r="112" spans="1:4" ht="12" customHeight="1">
      <c r="A112" s="54" t="s">
        <v>206</v>
      </c>
      <c r="B112" s="115" t="s">
        <v>363</v>
      </c>
      <c r="C112" s="454"/>
      <c r="D112" s="67"/>
    </row>
    <row r="113" spans="1:4" ht="12" customHeight="1">
      <c r="A113" s="54" t="s">
        <v>208</v>
      </c>
      <c r="B113" s="116" t="s">
        <v>364</v>
      </c>
      <c r="C113" s="454">
        <f>SUM(C114:C121)</f>
        <v>0</v>
      </c>
      <c r="D113" s="67">
        <f>SUM(D114:D121)</f>
        <v>0</v>
      </c>
    </row>
    <row r="114" spans="1:4" ht="12" customHeight="1">
      <c r="A114" s="54" t="s">
        <v>210</v>
      </c>
      <c r="B114" s="117" t="s">
        <v>365</v>
      </c>
      <c r="C114" s="454"/>
      <c r="D114" s="67"/>
    </row>
    <row r="115" spans="1:4" ht="12" customHeight="1">
      <c r="A115" s="54" t="s">
        <v>366</v>
      </c>
      <c r="B115" s="118" t="s">
        <v>367</v>
      </c>
      <c r="C115" s="454"/>
      <c r="D115" s="67"/>
    </row>
    <row r="116" spans="1:4" ht="26.25" customHeight="1">
      <c r="A116" s="54" t="s">
        <v>368</v>
      </c>
      <c r="B116" s="109" t="s">
        <v>348</v>
      </c>
      <c r="C116" s="454"/>
      <c r="D116" s="67"/>
    </row>
    <row r="117" spans="1:4" ht="12" customHeight="1">
      <c r="A117" s="54" t="s">
        <v>369</v>
      </c>
      <c r="B117" s="109" t="s">
        <v>370</v>
      </c>
      <c r="C117" s="454"/>
      <c r="D117" s="67"/>
    </row>
    <row r="118" spans="1:4" ht="12" customHeight="1">
      <c r="A118" s="54" t="s">
        <v>371</v>
      </c>
      <c r="B118" s="109" t="s">
        <v>372</v>
      </c>
      <c r="C118" s="454"/>
      <c r="D118" s="67"/>
    </row>
    <row r="119" spans="1:4" ht="12" customHeight="1">
      <c r="A119" s="54" t="s">
        <v>373</v>
      </c>
      <c r="B119" s="109" t="s">
        <v>354</v>
      </c>
      <c r="C119" s="454"/>
      <c r="D119" s="67"/>
    </row>
    <row r="120" spans="1:4" ht="12" customHeight="1">
      <c r="A120" s="54" t="s">
        <v>374</v>
      </c>
      <c r="B120" s="109" t="s">
        <v>375</v>
      </c>
      <c r="C120" s="454"/>
      <c r="D120" s="67"/>
    </row>
    <row r="121" spans="1:4" ht="12" customHeight="1" thickBot="1">
      <c r="A121" s="110" t="s">
        <v>376</v>
      </c>
      <c r="B121" s="109" t="s">
        <v>377</v>
      </c>
      <c r="C121" s="596"/>
      <c r="D121" s="68"/>
    </row>
    <row r="122" spans="1:4" ht="12" customHeight="1" thickBot="1">
      <c r="A122" s="50" t="s">
        <v>212</v>
      </c>
      <c r="B122" s="119" t="s">
        <v>378</v>
      </c>
      <c r="C122" s="52">
        <f>+C123+C124</f>
        <v>0</v>
      </c>
      <c r="D122" s="53">
        <f>+D123+D124</f>
        <v>0</v>
      </c>
    </row>
    <row r="123" spans="1:4" ht="12" customHeight="1">
      <c r="A123" s="54" t="s">
        <v>214</v>
      </c>
      <c r="B123" s="120" t="s">
        <v>379</v>
      </c>
      <c r="C123" s="455"/>
      <c r="D123" s="66"/>
    </row>
    <row r="124" spans="1:4" ht="12" customHeight="1" thickBot="1">
      <c r="A124" s="63" t="s">
        <v>216</v>
      </c>
      <c r="B124" s="115" t="s">
        <v>380</v>
      </c>
      <c r="C124" s="596"/>
      <c r="D124" s="68"/>
    </row>
    <row r="125" spans="1:4" ht="12" customHeight="1" thickBot="1">
      <c r="A125" s="50" t="s">
        <v>381</v>
      </c>
      <c r="B125" s="119" t="s">
        <v>382</v>
      </c>
      <c r="C125" s="52">
        <f>+C92+C108+C122</f>
        <v>2592000</v>
      </c>
      <c r="D125" s="53">
        <f>+D92+D108+D122</f>
        <v>0</v>
      </c>
    </row>
    <row r="126" spans="1:4" ht="12" customHeight="1" thickBot="1">
      <c r="A126" s="50" t="s">
        <v>233</v>
      </c>
      <c r="B126" s="119" t="s">
        <v>383</v>
      </c>
      <c r="C126" s="52">
        <f>+C127+C128+C129</f>
        <v>0</v>
      </c>
      <c r="D126" s="53">
        <f>+D127+D128+D129</f>
        <v>0</v>
      </c>
    </row>
    <row r="127" spans="1:4" s="101" customFormat="1" ht="12" customHeight="1">
      <c r="A127" s="54" t="s">
        <v>235</v>
      </c>
      <c r="B127" s="120" t="s">
        <v>384</v>
      </c>
      <c r="C127" s="453"/>
      <c r="D127" s="67"/>
    </row>
    <row r="128" spans="1:4" ht="12" customHeight="1">
      <c r="A128" s="54" t="s">
        <v>237</v>
      </c>
      <c r="B128" s="120" t="s">
        <v>385</v>
      </c>
      <c r="C128" s="454"/>
      <c r="D128" s="67"/>
    </row>
    <row r="129" spans="1:11" ht="12" customHeight="1" thickBot="1">
      <c r="A129" s="110" t="s">
        <v>239</v>
      </c>
      <c r="B129" s="121" t="s">
        <v>386</v>
      </c>
      <c r="C129" s="596"/>
      <c r="D129" s="67"/>
    </row>
    <row r="130" spans="1:11" ht="12" customHeight="1" thickBot="1">
      <c r="A130" s="50" t="s">
        <v>255</v>
      </c>
      <c r="B130" s="119" t="s">
        <v>387</v>
      </c>
      <c r="C130" s="52">
        <f>+C131+C132+C133+C134</f>
        <v>0</v>
      </c>
      <c r="D130" s="53">
        <f>+D131+D132+D133+D134</f>
        <v>0</v>
      </c>
    </row>
    <row r="131" spans="1:11" ht="12" customHeight="1">
      <c r="A131" s="54" t="s">
        <v>257</v>
      </c>
      <c r="B131" s="120" t="s">
        <v>388</v>
      </c>
      <c r="C131" s="454"/>
      <c r="D131" s="67"/>
    </row>
    <row r="132" spans="1:11" ht="12" customHeight="1">
      <c r="A132" s="54" t="s">
        <v>259</v>
      </c>
      <c r="B132" s="120" t="s">
        <v>389</v>
      </c>
      <c r="C132" s="454"/>
      <c r="D132" s="67"/>
    </row>
    <row r="133" spans="1:11" ht="12" customHeight="1">
      <c r="A133" s="54" t="s">
        <v>261</v>
      </c>
      <c r="B133" s="120" t="s">
        <v>390</v>
      </c>
      <c r="C133" s="454"/>
      <c r="D133" s="67"/>
    </row>
    <row r="134" spans="1:11" s="101" customFormat="1" ht="12" customHeight="1" thickBot="1">
      <c r="A134" s="110" t="s">
        <v>263</v>
      </c>
      <c r="B134" s="121" t="s">
        <v>391</v>
      </c>
      <c r="C134" s="454"/>
      <c r="D134" s="67"/>
    </row>
    <row r="135" spans="1:11" ht="12" customHeight="1" thickBot="1">
      <c r="A135" s="50" t="s">
        <v>392</v>
      </c>
      <c r="B135" s="119" t="s">
        <v>393</v>
      </c>
      <c r="C135" s="69">
        <f>+C136+C137+C138+C139</f>
        <v>0</v>
      </c>
      <c r="D135" s="70">
        <f>+D136+D137+D138+D139</f>
        <v>0</v>
      </c>
      <c r="K135" s="122"/>
    </row>
    <row r="136" spans="1:11">
      <c r="A136" s="54" t="s">
        <v>269</v>
      </c>
      <c r="B136" s="120" t="s">
        <v>394</v>
      </c>
      <c r="C136" s="1887"/>
      <c r="D136" s="67"/>
    </row>
    <row r="137" spans="1:11" ht="12" customHeight="1">
      <c r="A137" s="54" t="s">
        <v>271</v>
      </c>
      <c r="B137" s="120" t="s">
        <v>395</v>
      </c>
      <c r="C137" s="454"/>
      <c r="D137" s="67"/>
    </row>
    <row r="138" spans="1:11" s="101" customFormat="1" ht="12" customHeight="1">
      <c r="A138" s="54" t="s">
        <v>273</v>
      </c>
      <c r="B138" s="120" t="s">
        <v>396</v>
      </c>
      <c r="C138" s="454"/>
      <c r="D138" s="67"/>
    </row>
    <row r="139" spans="1:11" s="101" customFormat="1" ht="12" customHeight="1" thickBot="1">
      <c r="A139" s="110" t="s">
        <v>275</v>
      </c>
      <c r="B139" s="121" t="s">
        <v>397</v>
      </c>
      <c r="C139" s="454"/>
      <c r="D139" s="67"/>
    </row>
    <row r="140" spans="1:11" s="101" customFormat="1" ht="12" customHeight="1" thickBot="1">
      <c r="A140" s="50" t="s">
        <v>277</v>
      </c>
      <c r="B140" s="119" t="s">
        <v>398</v>
      </c>
      <c r="C140" s="123">
        <f>+C141+C142+C143+C144</f>
        <v>0</v>
      </c>
      <c r="D140" s="124">
        <f>+D141+D142+D143+D144</f>
        <v>0</v>
      </c>
    </row>
    <row r="141" spans="1:11" s="101" customFormat="1" ht="12" customHeight="1">
      <c r="A141" s="54" t="s">
        <v>279</v>
      </c>
      <c r="B141" s="120" t="s">
        <v>399</v>
      </c>
      <c r="C141" s="454"/>
      <c r="D141" s="67"/>
    </row>
    <row r="142" spans="1:11" s="101" customFormat="1" ht="12" customHeight="1">
      <c r="A142" s="54" t="s">
        <v>281</v>
      </c>
      <c r="B142" s="120" t="s">
        <v>400</v>
      </c>
      <c r="C142" s="454"/>
      <c r="D142" s="67"/>
    </row>
    <row r="143" spans="1:11" s="101" customFormat="1" ht="12" customHeight="1">
      <c r="A143" s="54" t="s">
        <v>283</v>
      </c>
      <c r="B143" s="120" t="s">
        <v>401</v>
      </c>
      <c r="C143" s="454"/>
      <c r="D143" s="67"/>
    </row>
    <row r="144" spans="1:11" ht="12.75" customHeight="1" thickBot="1">
      <c r="A144" s="54" t="s">
        <v>285</v>
      </c>
      <c r="B144" s="120" t="s">
        <v>402</v>
      </c>
      <c r="C144" s="454"/>
      <c r="D144" s="67"/>
    </row>
    <row r="145" spans="1:5" ht="12" customHeight="1" thickBot="1">
      <c r="A145" s="50" t="s">
        <v>287</v>
      </c>
      <c r="B145" s="119" t="s">
        <v>403</v>
      </c>
      <c r="C145" s="125">
        <f>+C126+C130+C135+C140</f>
        <v>0</v>
      </c>
      <c r="D145" s="126">
        <f>+D126+D130+D135+D140</f>
        <v>0</v>
      </c>
    </row>
    <row r="146" spans="1:5" ht="15" customHeight="1" thickBot="1">
      <c r="A146" s="127" t="s">
        <v>404</v>
      </c>
      <c r="B146" s="128" t="s">
        <v>405</v>
      </c>
      <c r="C146" s="125">
        <f>+C125+C145</f>
        <v>2592000</v>
      </c>
      <c r="D146" s="126">
        <f>+D125+D145</f>
        <v>0</v>
      </c>
    </row>
    <row r="148" spans="1:5" s="130" customFormat="1" ht="15.75">
      <c r="A148" s="1807" t="s">
        <v>406</v>
      </c>
      <c r="B148" s="1807"/>
      <c r="C148" s="1807"/>
      <c r="D148" s="129"/>
      <c r="E148" s="129"/>
    </row>
    <row r="149" spans="1:5" s="130" customFormat="1" ht="15" customHeight="1" thickBot="1">
      <c r="A149" s="1808"/>
      <c r="B149" s="1808"/>
      <c r="C149" s="1809" t="s">
        <v>647</v>
      </c>
      <c r="D149" s="1809"/>
      <c r="E149" s="129"/>
    </row>
    <row r="150" spans="1:5" s="130" customFormat="1" ht="24.95" customHeight="1" thickBot="1">
      <c r="A150" s="131">
        <v>1</v>
      </c>
      <c r="B150" s="132" t="s">
        <v>407</v>
      </c>
      <c r="C150" s="133">
        <f>C64-C125</f>
        <v>0</v>
      </c>
      <c r="D150" s="77">
        <f>D64-D125</f>
        <v>0</v>
      </c>
      <c r="E150" s="134">
        <f>+E63-E125</f>
        <v>0</v>
      </c>
    </row>
    <row r="151" spans="1:5" s="130" customFormat="1" ht="27.75" customHeight="1" thickBot="1">
      <c r="A151" s="131" t="s">
        <v>198</v>
      </c>
      <c r="B151" s="132" t="s">
        <v>408</v>
      </c>
      <c r="C151" s="133">
        <f>C87-C145</f>
        <v>0</v>
      </c>
      <c r="D151" s="77">
        <f>D87-D145</f>
        <v>0</v>
      </c>
      <c r="E151" s="134">
        <f>+E86-E145</f>
        <v>0</v>
      </c>
    </row>
    <row r="152" spans="1:5" ht="13.5" thickBot="1"/>
    <row r="153" spans="1:5" ht="25.15" customHeight="1">
      <c r="A153" s="1803" t="s">
        <v>654</v>
      </c>
      <c r="B153" s="1804"/>
      <c r="C153" s="1015"/>
      <c r="D153" s="1016"/>
    </row>
    <row r="154" spans="1:5" ht="25.15" customHeight="1" thickBot="1">
      <c r="A154" s="1805" t="s">
        <v>655</v>
      </c>
      <c r="B154" s="1806"/>
      <c r="C154" s="1017"/>
      <c r="D154" s="1018"/>
    </row>
  </sheetData>
  <sheetProtection selectLockedCells="1" selectUnlockedCells="1"/>
  <mergeCells count="11">
    <mergeCell ref="A148:C148"/>
    <mergeCell ref="A149:B149"/>
    <mergeCell ref="C149:D149"/>
    <mergeCell ref="A153:B153"/>
    <mergeCell ref="A154:B154"/>
    <mergeCell ref="A1:D1"/>
    <mergeCell ref="C2:D2"/>
    <mergeCell ref="C3:D3"/>
    <mergeCell ref="C4:D4"/>
    <mergeCell ref="A7:D7"/>
    <mergeCell ref="A91:D9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r:id="rId1"/>
  <headerFooter alignWithMargins="0"/>
  <rowBreaks count="3" manualBreakCount="3">
    <brk id="69" max="3" man="1"/>
    <brk id="88" max="16383" man="1"/>
    <brk id="146" max="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H59"/>
  <sheetViews>
    <sheetView view="pageBreakPreview" topLeftCell="A25" zoomScaleNormal="100" zoomScaleSheetLayoutView="100" workbookViewId="0">
      <selection activeCell="I16" sqref="I16"/>
    </sheetView>
  </sheetViews>
  <sheetFormatPr defaultRowHeight="12.75"/>
  <cols>
    <col min="1" max="1" width="11.85546875" style="1689" customWidth="1"/>
    <col min="2" max="2" width="54.5703125" style="1690" customWidth="1"/>
    <col min="3" max="3" width="15.5703125" style="1690" customWidth="1"/>
    <col min="4" max="4" width="15.42578125" style="1690" customWidth="1"/>
    <col min="5" max="256" width="9.140625" style="1638"/>
    <col min="257" max="257" width="11.85546875" style="1638" customWidth="1"/>
    <col min="258" max="258" width="54.5703125" style="1638" customWidth="1"/>
    <col min="259" max="259" width="15.5703125" style="1638" customWidth="1"/>
    <col min="260" max="260" width="15.42578125" style="1638" customWidth="1"/>
    <col min="261" max="512" width="9.140625" style="1638"/>
    <col min="513" max="513" width="11.85546875" style="1638" customWidth="1"/>
    <col min="514" max="514" width="54.5703125" style="1638" customWidth="1"/>
    <col min="515" max="515" width="15.5703125" style="1638" customWidth="1"/>
    <col min="516" max="516" width="15.42578125" style="1638" customWidth="1"/>
    <col min="517" max="768" width="9.140625" style="1638"/>
    <col min="769" max="769" width="11.85546875" style="1638" customWidth="1"/>
    <col min="770" max="770" width="54.5703125" style="1638" customWidth="1"/>
    <col min="771" max="771" width="15.5703125" style="1638" customWidth="1"/>
    <col min="772" max="772" width="15.42578125" style="1638" customWidth="1"/>
    <col min="773" max="1024" width="9.140625" style="1638"/>
    <col min="1025" max="1025" width="11.85546875" style="1638" customWidth="1"/>
    <col min="1026" max="1026" width="54.5703125" style="1638" customWidth="1"/>
    <col min="1027" max="1027" width="15.5703125" style="1638" customWidth="1"/>
    <col min="1028" max="1028" width="15.42578125" style="1638" customWidth="1"/>
    <col min="1029" max="1280" width="9.140625" style="1638"/>
    <col min="1281" max="1281" width="11.85546875" style="1638" customWidth="1"/>
    <col min="1282" max="1282" width="54.5703125" style="1638" customWidth="1"/>
    <col min="1283" max="1283" width="15.5703125" style="1638" customWidth="1"/>
    <col min="1284" max="1284" width="15.42578125" style="1638" customWidth="1"/>
    <col min="1285" max="1536" width="9.140625" style="1638"/>
    <col min="1537" max="1537" width="11.85546875" style="1638" customWidth="1"/>
    <col min="1538" max="1538" width="54.5703125" style="1638" customWidth="1"/>
    <col min="1539" max="1539" width="15.5703125" style="1638" customWidth="1"/>
    <col min="1540" max="1540" width="15.42578125" style="1638" customWidth="1"/>
    <col min="1541" max="1792" width="9.140625" style="1638"/>
    <col min="1793" max="1793" width="11.85546875" style="1638" customWidth="1"/>
    <col min="1794" max="1794" width="54.5703125" style="1638" customWidth="1"/>
    <col min="1795" max="1795" width="15.5703125" style="1638" customWidth="1"/>
    <col min="1796" max="1796" width="15.42578125" style="1638" customWidth="1"/>
    <col min="1797" max="2048" width="9.140625" style="1638"/>
    <col min="2049" max="2049" width="11.85546875" style="1638" customWidth="1"/>
    <col min="2050" max="2050" width="54.5703125" style="1638" customWidth="1"/>
    <col min="2051" max="2051" width="15.5703125" style="1638" customWidth="1"/>
    <col min="2052" max="2052" width="15.42578125" style="1638" customWidth="1"/>
    <col min="2053" max="2304" width="9.140625" style="1638"/>
    <col min="2305" max="2305" width="11.85546875" style="1638" customWidth="1"/>
    <col min="2306" max="2306" width="54.5703125" style="1638" customWidth="1"/>
    <col min="2307" max="2307" width="15.5703125" style="1638" customWidth="1"/>
    <col min="2308" max="2308" width="15.42578125" style="1638" customWidth="1"/>
    <col min="2309" max="2560" width="9.140625" style="1638"/>
    <col min="2561" max="2561" width="11.85546875" style="1638" customWidth="1"/>
    <col min="2562" max="2562" width="54.5703125" style="1638" customWidth="1"/>
    <col min="2563" max="2563" width="15.5703125" style="1638" customWidth="1"/>
    <col min="2564" max="2564" width="15.42578125" style="1638" customWidth="1"/>
    <col min="2565" max="2816" width="9.140625" style="1638"/>
    <col min="2817" max="2817" width="11.85546875" style="1638" customWidth="1"/>
    <col min="2818" max="2818" width="54.5703125" style="1638" customWidth="1"/>
    <col min="2819" max="2819" width="15.5703125" style="1638" customWidth="1"/>
    <col min="2820" max="2820" width="15.42578125" style="1638" customWidth="1"/>
    <col min="2821" max="3072" width="9.140625" style="1638"/>
    <col min="3073" max="3073" width="11.85546875" style="1638" customWidth="1"/>
    <col min="3074" max="3074" width="54.5703125" style="1638" customWidth="1"/>
    <col min="3075" max="3075" width="15.5703125" style="1638" customWidth="1"/>
    <col min="3076" max="3076" width="15.42578125" style="1638" customWidth="1"/>
    <col min="3077" max="3328" width="9.140625" style="1638"/>
    <col min="3329" max="3329" width="11.85546875" style="1638" customWidth="1"/>
    <col min="3330" max="3330" width="54.5703125" style="1638" customWidth="1"/>
    <col min="3331" max="3331" width="15.5703125" style="1638" customWidth="1"/>
    <col min="3332" max="3332" width="15.42578125" style="1638" customWidth="1"/>
    <col min="3333" max="3584" width="9.140625" style="1638"/>
    <col min="3585" max="3585" width="11.85546875" style="1638" customWidth="1"/>
    <col min="3586" max="3586" width="54.5703125" style="1638" customWidth="1"/>
    <col min="3587" max="3587" width="15.5703125" style="1638" customWidth="1"/>
    <col min="3588" max="3588" width="15.42578125" style="1638" customWidth="1"/>
    <col min="3589" max="3840" width="9.140625" style="1638"/>
    <col min="3841" max="3841" width="11.85546875" style="1638" customWidth="1"/>
    <col min="3842" max="3842" width="54.5703125" style="1638" customWidth="1"/>
    <col min="3843" max="3843" width="15.5703125" style="1638" customWidth="1"/>
    <col min="3844" max="3844" width="15.42578125" style="1638" customWidth="1"/>
    <col min="3845" max="4096" width="9.140625" style="1638"/>
    <col min="4097" max="4097" width="11.85546875" style="1638" customWidth="1"/>
    <col min="4098" max="4098" width="54.5703125" style="1638" customWidth="1"/>
    <col min="4099" max="4099" width="15.5703125" style="1638" customWidth="1"/>
    <col min="4100" max="4100" width="15.42578125" style="1638" customWidth="1"/>
    <col min="4101" max="4352" width="9.140625" style="1638"/>
    <col min="4353" max="4353" width="11.85546875" style="1638" customWidth="1"/>
    <col min="4354" max="4354" width="54.5703125" style="1638" customWidth="1"/>
    <col min="4355" max="4355" width="15.5703125" style="1638" customWidth="1"/>
    <col min="4356" max="4356" width="15.42578125" style="1638" customWidth="1"/>
    <col min="4357" max="4608" width="9.140625" style="1638"/>
    <col min="4609" max="4609" width="11.85546875" style="1638" customWidth="1"/>
    <col min="4610" max="4610" width="54.5703125" style="1638" customWidth="1"/>
    <col min="4611" max="4611" width="15.5703125" style="1638" customWidth="1"/>
    <col min="4612" max="4612" width="15.42578125" style="1638" customWidth="1"/>
    <col min="4613" max="4864" width="9.140625" style="1638"/>
    <col min="4865" max="4865" width="11.85546875" style="1638" customWidth="1"/>
    <col min="4866" max="4866" width="54.5703125" style="1638" customWidth="1"/>
    <col min="4867" max="4867" width="15.5703125" style="1638" customWidth="1"/>
    <col min="4868" max="4868" width="15.42578125" style="1638" customWidth="1"/>
    <col min="4869" max="5120" width="9.140625" style="1638"/>
    <col min="5121" max="5121" width="11.85546875" style="1638" customWidth="1"/>
    <col min="5122" max="5122" width="54.5703125" style="1638" customWidth="1"/>
    <col min="5123" max="5123" width="15.5703125" style="1638" customWidth="1"/>
    <col min="5124" max="5124" width="15.42578125" style="1638" customWidth="1"/>
    <col min="5125" max="5376" width="9.140625" style="1638"/>
    <col min="5377" max="5377" width="11.85546875" style="1638" customWidth="1"/>
    <col min="5378" max="5378" width="54.5703125" style="1638" customWidth="1"/>
    <col min="5379" max="5379" width="15.5703125" style="1638" customWidth="1"/>
    <col min="5380" max="5380" width="15.42578125" style="1638" customWidth="1"/>
    <col min="5381" max="5632" width="9.140625" style="1638"/>
    <col min="5633" max="5633" width="11.85546875" style="1638" customWidth="1"/>
    <col min="5634" max="5634" width="54.5703125" style="1638" customWidth="1"/>
    <col min="5635" max="5635" width="15.5703125" style="1638" customWidth="1"/>
    <col min="5636" max="5636" width="15.42578125" style="1638" customWidth="1"/>
    <col min="5637" max="5888" width="9.140625" style="1638"/>
    <col min="5889" max="5889" width="11.85546875" style="1638" customWidth="1"/>
    <col min="5890" max="5890" width="54.5703125" style="1638" customWidth="1"/>
    <col min="5891" max="5891" width="15.5703125" style="1638" customWidth="1"/>
    <col min="5892" max="5892" width="15.42578125" style="1638" customWidth="1"/>
    <col min="5893" max="6144" width="9.140625" style="1638"/>
    <col min="6145" max="6145" width="11.85546875" style="1638" customWidth="1"/>
    <col min="6146" max="6146" width="54.5703125" style="1638" customWidth="1"/>
    <col min="6147" max="6147" width="15.5703125" style="1638" customWidth="1"/>
    <col min="6148" max="6148" width="15.42578125" style="1638" customWidth="1"/>
    <col min="6149" max="6400" width="9.140625" style="1638"/>
    <col min="6401" max="6401" width="11.85546875" style="1638" customWidth="1"/>
    <col min="6402" max="6402" width="54.5703125" style="1638" customWidth="1"/>
    <col min="6403" max="6403" width="15.5703125" style="1638" customWidth="1"/>
    <col min="6404" max="6404" width="15.42578125" style="1638" customWidth="1"/>
    <col min="6405" max="6656" width="9.140625" style="1638"/>
    <col min="6657" max="6657" width="11.85546875" style="1638" customWidth="1"/>
    <col min="6658" max="6658" width="54.5703125" style="1638" customWidth="1"/>
    <col min="6659" max="6659" width="15.5703125" style="1638" customWidth="1"/>
    <col min="6660" max="6660" width="15.42578125" style="1638" customWidth="1"/>
    <col min="6661" max="6912" width="9.140625" style="1638"/>
    <col min="6913" max="6913" width="11.85546875" style="1638" customWidth="1"/>
    <col min="6914" max="6914" width="54.5703125" style="1638" customWidth="1"/>
    <col min="6915" max="6915" width="15.5703125" style="1638" customWidth="1"/>
    <col min="6916" max="6916" width="15.42578125" style="1638" customWidth="1"/>
    <col min="6917" max="7168" width="9.140625" style="1638"/>
    <col min="7169" max="7169" width="11.85546875" style="1638" customWidth="1"/>
    <col min="7170" max="7170" width="54.5703125" style="1638" customWidth="1"/>
    <col min="7171" max="7171" width="15.5703125" style="1638" customWidth="1"/>
    <col min="7172" max="7172" width="15.42578125" style="1638" customWidth="1"/>
    <col min="7173" max="7424" width="9.140625" style="1638"/>
    <col min="7425" max="7425" width="11.85546875" style="1638" customWidth="1"/>
    <col min="7426" max="7426" width="54.5703125" style="1638" customWidth="1"/>
    <col min="7427" max="7427" width="15.5703125" style="1638" customWidth="1"/>
    <col min="7428" max="7428" width="15.42578125" style="1638" customWidth="1"/>
    <col min="7429" max="7680" width="9.140625" style="1638"/>
    <col min="7681" max="7681" width="11.85546875" style="1638" customWidth="1"/>
    <col min="7682" max="7682" width="54.5703125" style="1638" customWidth="1"/>
    <col min="7683" max="7683" width="15.5703125" style="1638" customWidth="1"/>
    <col min="7684" max="7684" width="15.42578125" style="1638" customWidth="1"/>
    <col min="7685" max="7936" width="9.140625" style="1638"/>
    <col min="7937" max="7937" width="11.85546875" style="1638" customWidth="1"/>
    <col min="7938" max="7938" width="54.5703125" style="1638" customWidth="1"/>
    <col min="7939" max="7939" width="15.5703125" style="1638" customWidth="1"/>
    <col min="7940" max="7940" width="15.42578125" style="1638" customWidth="1"/>
    <col min="7941" max="8192" width="9.140625" style="1638"/>
    <col min="8193" max="8193" width="11.85546875" style="1638" customWidth="1"/>
    <col min="8194" max="8194" width="54.5703125" style="1638" customWidth="1"/>
    <col min="8195" max="8195" width="15.5703125" style="1638" customWidth="1"/>
    <col min="8196" max="8196" width="15.42578125" style="1638" customWidth="1"/>
    <col min="8197" max="8448" width="9.140625" style="1638"/>
    <col min="8449" max="8449" width="11.85546875" style="1638" customWidth="1"/>
    <col min="8450" max="8450" width="54.5703125" style="1638" customWidth="1"/>
    <col min="8451" max="8451" width="15.5703125" style="1638" customWidth="1"/>
    <col min="8452" max="8452" width="15.42578125" style="1638" customWidth="1"/>
    <col min="8453" max="8704" width="9.140625" style="1638"/>
    <col min="8705" max="8705" width="11.85546875" style="1638" customWidth="1"/>
    <col min="8706" max="8706" width="54.5703125" style="1638" customWidth="1"/>
    <col min="8707" max="8707" width="15.5703125" style="1638" customWidth="1"/>
    <col min="8708" max="8708" width="15.42578125" style="1638" customWidth="1"/>
    <col min="8709" max="8960" width="9.140625" style="1638"/>
    <col min="8961" max="8961" width="11.85546875" style="1638" customWidth="1"/>
    <col min="8962" max="8962" width="54.5703125" style="1638" customWidth="1"/>
    <col min="8963" max="8963" width="15.5703125" style="1638" customWidth="1"/>
    <col min="8964" max="8964" width="15.42578125" style="1638" customWidth="1"/>
    <col min="8965" max="9216" width="9.140625" style="1638"/>
    <col min="9217" max="9217" width="11.85546875" style="1638" customWidth="1"/>
    <col min="9218" max="9218" width="54.5703125" style="1638" customWidth="1"/>
    <col min="9219" max="9219" width="15.5703125" style="1638" customWidth="1"/>
    <col min="9220" max="9220" width="15.42578125" style="1638" customWidth="1"/>
    <col min="9221" max="9472" width="9.140625" style="1638"/>
    <col min="9473" max="9473" width="11.85546875" style="1638" customWidth="1"/>
    <col min="9474" max="9474" width="54.5703125" style="1638" customWidth="1"/>
    <col min="9475" max="9475" width="15.5703125" style="1638" customWidth="1"/>
    <col min="9476" max="9476" width="15.42578125" style="1638" customWidth="1"/>
    <col min="9477" max="9728" width="9.140625" style="1638"/>
    <col min="9729" max="9729" width="11.85546875" style="1638" customWidth="1"/>
    <col min="9730" max="9730" width="54.5703125" style="1638" customWidth="1"/>
    <col min="9731" max="9731" width="15.5703125" style="1638" customWidth="1"/>
    <col min="9732" max="9732" width="15.42578125" style="1638" customWidth="1"/>
    <col min="9733" max="9984" width="9.140625" style="1638"/>
    <col min="9985" max="9985" width="11.85546875" style="1638" customWidth="1"/>
    <col min="9986" max="9986" width="54.5703125" style="1638" customWidth="1"/>
    <col min="9987" max="9987" width="15.5703125" style="1638" customWidth="1"/>
    <col min="9988" max="9988" width="15.42578125" style="1638" customWidth="1"/>
    <col min="9989" max="10240" width="9.140625" style="1638"/>
    <col min="10241" max="10241" width="11.85546875" style="1638" customWidth="1"/>
    <col min="10242" max="10242" width="54.5703125" style="1638" customWidth="1"/>
    <col min="10243" max="10243" width="15.5703125" style="1638" customWidth="1"/>
    <col min="10244" max="10244" width="15.42578125" style="1638" customWidth="1"/>
    <col min="10245" max="10496" width="9.140625" style="1638"/>
    <col min="10497" max="10497" width="11.85546875" style="1638" customWidth="1"/>
    <col min="10498" max="10498" width="54.5703125" style="1638" customWidth="1"/>
    <col min="10499" max="10499" width="15.5703125" style="1638" customWidth="1"/>
    <col min="10500" max="10500" width="15.42578125" style="1638" customWidth="1"/>
    <col min="10501" max="10752" width="9.140625" style="1638"/>
    <col min="10753" max="10753" width="11.85546875" style="1638" customWidth="1"/>
    <col min="10754" max="10754" width="54.5703125" style="1638" customWidth="1"/>
    <col min="10755" max="10755" width="15.5703125" style="1638" customWidth="1"/>
    <col min="10756" max="10756" width="15.42578125" style="1638" customWidth="1"/>
    <col min="10757" max="11008" width="9.140625" style="1638"/>
    <col min="11009" max="11009" width="11.85546875" style="1638" customWidth="1"/>
    <col min="11010" max="11010" width="54.5703125" style="1638" customWidth="1"/>
    <col min="11011" max="11011" width="15.5703125" style="1638" customWidth="1"/>
    <col min="11012" max="11012" width="15.42578125" style="1638" customWidth="1"/>
    <col min="11013" max="11264" width="9.140625" style="1638"/>
    <col min="11265" max="11265" width="11.85546875" style="1638" customWidth="1"/>
    <col min="11266" max="11266" width="54.5703125" style="1638" customWidth="1"/>
    <col min="11267" max="11267" width="15.5703125" style="1638" customWidth="1"/>
    <col min="11268" max="11268" width="15.42578125" style="1638" customWidth="1"/>
    <col min="11269" max="11520" width="9.140625" style="1638"/>
    <col min="11521" max="11521" width="11.85546875" style="1638" customWidth="1"/>
    <col min="11522" max="11522" width="54.5703125" style="1638" customWidth="1"/>
    <col min="11523" max="11523" width="15.5703125" style="1638" customWidth="1"/>
    <col min="11524" max="11524" width="15.42578125" style="1638" customWidth="1"/>
    <col min="11525" max="11776" width="9.140625" style="1638"/>
    <col min="11777" max="11777" width="11.85546875" style="1638" customWidth="1"/>
    <col min="11778" max="11778" width="54.5703125" style="1638" customWidth="1"/>
    <col min="11779" max="11779" width="15.5703125" style="1638" customWidth="1"/>
    <col min="11780" max="11780" width="15.42578125" style="1638" customWidth="1"/>
    <col min="11781" max="12032" width="9.140625" style="1638"/>
    <col min="12033" max="12033" width="11.85546875" style="1638" customWidth="1"/>
    <col min="12034" max="12034" width="54.5703125" style="1638" customWidth="1"/>
    <col min="12035" max="12035" width="15.5703125" style="1638" customWidth="1"/>
    <col min="12036" max="12036" width="15.42578125" style="1638" customWidth="1"/>
    <col min="12037" max="12288" width="9.140625" style="1638"/>
    <col min="12289" max="12289" width="11.85546875" style="1638" customWidth="1"/>
    <col min="12290" max="12290" width="54.5703125" style="1638" customWidth="1"/>
    <col min="12291" max="12291" width="15.5703125" style="1638" customWidth="1"/>
    <col min="12292" max="12292" width="15.42578125" style="1638" customWidth="1"/>
    <col min="12293" max="12544" width="9.140625" style="1638"/>
    <col min="12545" max="12545" width="11.85546875" style="1638" customWidth="1"/>
    <col min="12546" max="12546" width="54.5703125" style="1638" customWidth="1"/>
    <col min="12547" max="12547" width="15.5703125" style="1638" customWidth="1"/>
    <col min="12548" max="12548" width="15.42578125" style="1638" customWidth="1"/>
    <col min="12549" max="12800" width="9.140625" style="1638"/>
    <col min="12801" max="12801" width="11.85546875" style="1638" customWidth="1"/>
    <col min="12802" max="12802" width="54.5703125" style="1638" customWidth="1"/>
    <col min="12803" max="12803" width="15.5703125" style="1638" customWidth="1"/>
    <col min="12804" max="12804" width="15.42578125" style="1638" customWidth="1"/>
    <col min="12805" max="13056" width="9.140625" style="1638"/>
    <col min="13057" max="13057" width="11.85546875" style="1638" customWidth="1"/>
    <col min="13058" max="13058" width="54.5703125" style="1638" customWidth="1"/>
    <col min="13059" max="13059" width="15.5703125" style="1638" customWidth="1"/>
    <col min="13060" max="13060" width="15.42578125" style="1638" customWidth="1"/>
    <col min="13061" max="13312" width="9.140625" style="1638"/>
    <col min="13313" max="13313" width="11.85546875" style="1638" customWidth="1"/>
    <col min="13314" max="13314" width="54.5703125" style="1638" customWidth="1"/>
    <col min="13315" max="13315" width="15.5703125" style="1638" customWidth="1"/>
    <col min="13316" max="13316" width="15.42578125" style="1638" customWidth="1"/>
    <col min="13317" max="13568" width="9.140625" style="1638"/>
    <col min="13569" max="13569" width="11.85546875" style="1638" customWidth="1"/>
    <col min="13570" max="13570" width="54.5703125" style="1638" customWidth="1"/>
    <col min="13571" max="13571" width="15.5703125" style="1638" customWidth="1"/>
    <col min="13572" max="13572" width="15.42578125" style="1638" customWidth="1"/>
    <col min="13573" max="13824" width="9.140625" style="1638"/>
    <col min="13825" max="13825" width="11.85546875" style="1638" customWidth="1"/>
    <col min="13826" max="13826" width="54.5703125" style="1638" customWidth="1"/>
    <col min="13827" max="13827" width="15.5703125" style="1638" customWidth="1"/>
    <col min="13828" max="13828" width="15.42578125" style="1638" customWidth="1"/>
    <col min="13829" max="14080" width="9.140625" style="1638"/>
    <col min="14081" max="14081" width="11.85546875" style="1638" customWidth="1"/>
    <col min="14082" max="14082" width="54.5703125" style="1638" customWidth="1"/>
    <col min="14083" max="14083" width="15.5703125" style="1638" customWidth="1"/>
    <col min="14084" max="14084" width="15.42578125" style="1638" customWidth="1"/>
    <col min="14085" max="14336" width="9.140625" style="1638"/>
    <col min="14337" max="14337" width="11.85546875" style="1638" customWidth="1"/>
    <col min="14338" max="14338" width="54.5703125" style="1638" customWidth="1"/>
    <col min="14339" max="14339" width="15.5703125" style="1638" customWidth="1"/>
    <col min="14340" max="14340" width="15.42578125" style="1638" customWidth="1"/>
    <col min="14341" max="14592" width="9.140625" style="1638"/>
    <col min="14593" max="14593" width="11.85546875" style="1638" customWidth="1"/>
    <col min="14594" max="14594" width="54.5703125" style="1638" customWidth="1"/>
    <col min="14595" max="14595" width="15.5703125" style="1638" customWidth="1"/>
    <col min="14596" max="14596" width="15.42578125" style="1638" customWidth="1"/>
    <col min="14597" max="14848" width="9.140625" style="1638"/>
    <col min="14849" max="14849" width="11.85546875" style="1638" customWidth="1"/>
    <col min="14850" max="14850" width="54.5703125" style="1638" customWidth="1"/>
    <col min="14851" max="14851" width="15.5703125" style="1638" customWidth="1"/>
    <col min="14852" max="14852" width="15.42578125" style="1638" customWidth="1"/>
    <col min="14853" max="15104" width="9.140625" style="1638"/>
    <col min="15105" max="15105" width="11.85546875" style="1638" customWidth="1"/>
    <col min="15106" max="15106" width="54.5703125" style="1638" customWidth="1"/>
    <col min="15107" max="15107" width="15.5703125" style="1638" customWidth="1"/>
    <col min="15108" max="15108" width="15.42578125" style="1638" customWidth="1"/>
    <col min="15109" max="15360" width="9.140625" style="1638"/>
    <col min="15361" max="15361" width="11.85546875" style="1638" customWidth="1"/>
    <col min="15362" max="15362" width="54.5703125" style="1638" customWidth="1"/>
    <col min="15363" max="15363" width="15.5703125" style="1638" customWidth="1"/>
    <col min="15364" max="15364" width="15.42578125" style="1638" customWidth="1"/>
    <col min="15365" max="15616" width="9.140625" style="1638"/>
    <col min="15617" max="15617" width="11.85546875" style="1638" customWidth="1"/>
    <col min="15618" max="15618" width="54.5703125" style="1638" customWidth="1"/>
    <col min="15619" max="15619" width="15.5703125" style="1638" customWidth="1"/>
    <col min="15620" max="15620" width="15.42578125" style="1638" customWidth="1"/>
    <col min="15621" max="15872" width="9.140625" style="1638"/>
    <col min="15873" max="15873" width="11.85546875" style="1638" customWidth="1"/>
    <col min="15874" max="15874" width="54.5703125" style="1638" customWidth="1"/>
    <col min="15875" max="15875" width="15.5703125" style="1638" customWidth="1"/>
    <col min="15876" max="15876" width="15.42578125" style="1638" customWidth="1"/>
    <col min="15877" max="16128" width="9.140625" style="1638"/>
    <col min="16129" max="16129" width="11.85546875" style="1638" customWidth="1"/>
    <col min="16130" max="16130" width="54.5703125" style="1638" customWidth="1"/>
    <col min="16131" max="16131" width="15.5703125" style="1638" customWidth="1"/>
    <col min="16132" max="16132" width="15.42578125" style="1638" customWidth="1"/>
    <col min="16133" max="16384" width="9.140625" style="1638"/>
  </cols>
  <sheetData>
    <row r="1" spans="1:8" s="1625" customFormat="1" ht="21" customHeight="1" thickBot="1">
      <c r="A1" s="1811" t="s">
        <v>809</v>
      </c>
      <c r="B1" s="1811"/>
      <c r="C1" s="1811"/>
      <c r="D1" s="1811"/>
    </row>
    <row r="2" spans="1:8" s="1628" customFormat="1" ht="25.5" customHeight="1">
      <c r="A2" s="1626" t="s">
        <v>773</v>
      </c>
      <c r="B2" s="1627" t="s">
        <v>800</v>
      </c>
      <c r="C2" s="1812" t="s">
        <v>774</v>
      </c>
      <c r="D2" s="1813"/>
    </row>
    <row r="3" spans="1:8" s="1628" customFormat="1" ht="24.75" thickBot="1">
      <c r="A3" s="1629" t="s">
        <v>179</v>
      </c>
      <c r="B3" s="1630" t="s">
        <v>180</v>
      </c>
      <c r="C3" s="1814"/>
      <c r="D3" s="1815"/>
    </row>
    <row r="4" spans="1:8" s="1632" customFormat="1" ht="15.95" customHeight="1" thickBot="1">
      <c r="A4" s="1631"/>
      <c r="B4" s="1631"/>
      <c r="C4" s="1816" t="s">
        <v>644</v>
      </c>
      <c r="D4" s="1817"/>
    </row>
    <row r="5" spans="1:8" ht="36.75" thickBot="1">
      <c r="A5" s="1633" t="s">
        <v>181</v>
      </c>
      <c r="B5" s="1634" t="s">
        <v>182</v>
      </c>
      <c r="C5" s="1635" t="s">
        <v>771</v>
      </c>
      <c r="D5" s="1636" t="s">
        <v>772</v>
      </c>
      <c r="E5" s="1637"/>
      <c r="F5" s="1637"/>
      <c r="G5" s="1637"/>
      <c r="H5" s="1637"/>
    </row>
    <row r="6" spans="1:8" s="1643" customFormat="1" ht="12.95" customHeight="1" thickBot="1">
      <c r="A6" s="1639">
        <v>1</v>
      </c>
      <c r="B6" s="1640">
        <v>2</v>
      </c>
      <c r="C6" s="1641">
        <v>3</v>
      </c>
      <c r="D6" s="1642">
        <v>4</v>
      </c>
    </row>
    <row r="7" spans="1:8" s="1643" customFormat="1" ht="15.95" customHeight="1" thickBot="1">
      <c r="A7" s="1818" t="s">
        <v>183</v>
      </c>
      <c r="B7" s="1819"/>
      <c r="C7" s="1819"/>
      <c r="D7" s="1820"/>
    </row>
    <row r="8" spans="1:8" s="1647" customFormat="1" ht="12" customHeight="1" thickBot="1">
      <c r="A8" s="1639" t="s">
        <v>184</v>
      </c>
      <c r="B8" s="1644" t="s">
        <v>775</v>
      </c>
      <c r="C8" s="1645">
        <f>SUM(C9:C18)</f>
        <v>13928793.720000001</v>
      </c>
      <c r="D8" s="1646">
        <f>SUM(D9:D18)</f>
        <v>0</v>
      </c>
    </row>
    <row r="9" spans="1:8" s="1647" customFormat="1" ht="12" customHeight="1">
      <c r="A9" s="1648" t="s">
        <v>186</v>
      </c>
      <c r="B9" s="1649" t="s">
        <v>236</v>
      </c>
      <c r="C9" s="1650"/>
      <c r="D9" s="160"/>
    </row>
    <row r="10" spans="1:8" s="1647" customFormat="1" ht="12" customHeight="1">
      <c r="A10" s="1651" t="s">
        <v>188</v>
      </c>
      <c r="B10" s="1652" t="s">
        <v>238</v>
      </c>
      <c r="C10" s="1653">
        <f>Óvoda!W165</f>
        <v>7200000</v>
      </c>
      <c r="D10" s="165"/>
    </row>
    <row r="11" spans="1:8" s="1647" customFormat="1" ht="12" customHeight="1">
      <c r="A11" s="1651" t="s">
        <v>190</v>
      </c>
      <c r="B11" s="1652" t="s">
        <v>240</v>
      </c>
      <c r="C11" s="1653"/>
      <c r="D11" s="165"/>
    </row>
    <row r="12" spans="1:8" s="1647" customFormat="1" ht="12" customHeight="1">
      <c r="A12" s="1651" t="s">
        <v>192</v>
      </c>
      <c r="B12" s="1652" t="s">
        <v>242</v>
      </c>
      <c r="C12" s="1653"/>
      <c r="D12" s="165"/>
    </row>
    <row r="13" spans="1:8" s="1647" customFormat="1" ht="12" customHeight="1">
      <c r="A13" s="1651" t="s">
        <v>194</v>
      </c>
      <c r="B13" s="1652" t="s">
        <v>244</v>
      </c>
      <c r="C13" s="1653">
        <f>Óvoda!W169</f>
        <v>1100000</v>
      </c>
      <c r="D13" s="165"/>
    </row>
    <row r="14" spans="1:8" s="1647" customFormat="1" ht="12" customHeight="1">
      <c r="A14" s="1651" t="s">
        <v>196</v>
      </c>
      <c r="B14" s="1652" t="s">
        <v>776</v>
      </c>
      <c r="C14" s="1653">
        <f>Óvoda!W170</f>
        <v>2241000</v>
      </c>
      <c r="D14" s="165"/>
    </row>
    <row r="15" spans="1:8" s="1647" customFormat="1" ht="12" customHeight="1">
      <c r="A15" s="1651" t="s">
        <v>343</v>
      </c>
      <c r="B15" s="1654" t="s">
        <v>777</v>
      </c>
      <c r="C15" s="1653">
        <f>Óvoda!W171</f>
        <v>3382293.72</v>
      </c>
      <c r="D15" s="165"/>
    </row>
    <row r="16" spans="1:8" s="1647" customFormat="1" ht="12" customHeight="1">
      <c r="A16" s="1651" t="s">
        <v>345</v>
      </c>
      <c r="B16" s="1652" t="s">
        <v>250</v>
      </c>
      <c r="C16" s="1655">
        <f>Óvoda!W172</f>
        <v>5000</v>
      </c>
      <c r="D16" s="201"/>
    </row>
    <row r="17" spans="1:4" s="1656" customFormat="1" ht="12" customHeight="1">
      <c r="A17" s="1651" t="s">
        <v>347</v>
      </c>
      <c r="B17" s="1652" t="s">
        <v>252</v>
      </c>
      <c r="C17" s="1653"/>
      <c r="D17" s="165"/>
    </row>
    <row r="18" spans="1:4" s="1656" customFormat="1" ht="12" customHeight="1" thickBot="1">
      <c r="A18" s="1651" t="s">
        <v>349</v>
      </c>
      <c r="B18" s="1654" t="s">
        <v>254</v>
      </c>
      <c r="C18" s="1657">
        <f>Óvoda!W173</f>
        <v>500</v>
      </c>
      <c r="D18" s="172"/>
    </row>
    <row r="19" spans="1:4" s="1647" customFormat="1" ht="12" customHeight="1" thickBot="1">
      <c r="A19" s="1639" t="s">
        <v>198</v>
      </c>
      <c r="B19" s="1644" t="s">
        <v>778</v>
      </c>
      <c r="C19" s="1645">
        <f>SUM(C20:C22)</f>
        <v>0</v>
      </c>
      <c r="D19" s="1646">
        <f>SUM(D20:D22)</f>
        <v>0</v>
      </c>
    </row>
    <row r="20" spans="1:4" s="1656" customFormat="1" ht="12" customHeight="1">
      <c r="A20" s="1651" t="s">
        <v>200</v>
      </c>
      <c r="B20" s="1658" t="s">
        <v>201</v>
      </c>
      <c r="C20" s="1653"/>
      <c r="D20" s="165"/>
    </row>
    <row r="21" spans="1:4" s="1656" customFormat="1" ht="12" customHeight="1">
      <c r="A21" s="1651" t="s">
        <v>202</v>
      </c>
      <c r="B21" s="1652" t="s">
        <v>779</v>
      </c>
      <c r="C21" s="1653"/>
      <c r="D21" s="165"/>
    </row>
    <row r="22" spans="1:4" s="1656" customFormat="1" ht="12" customHeight="1">
      <c r="A22" s="1651" t="s">
        <v>204</v>
      </c>
      <c r="B22" s="1652" t="s">
        <v>780</v>
      </c>
      <c r="C22" s="1653"/>
      <c r="D22" s="165"/>
    </row>
    <row r="23" spans="1:4" s="1656" customFormat="1" ht="12" customHeight="1" thickBot="1">
      <c r="A23" s="1651" t="s">
        <v>206</v>
      </c>
      <c r="B23" s="1652" t="s">
        <v>781</v>
      </c>
      <c r="C23" s="1653"/>
      <c r="D23" s="165"/>
    </row>
    <row r="24" spans="1:4" s="1656" customFormat="1" ht="12" customHeight="1" thickBot="1">
      <c r="A24" s="1659" t="s">
        <v>212</v>
      </c>
      <c r="B24" s="1660" t="s">
        <v>5</v>
      </c>
      <c r="C24" s="1661"/>
      <c r="D24" s="1662"/>
    </row>
    <row r="25" spans="1:4" s="1656" customFormat="1" ht="12" customHeight="1" thickBot="1">
      <c r="A25" s="1659" t="s">
        <v>381</v>
      </c>
      <c r="B25" s="1660" t="s">
        <v>782</v>
      </c>
      <c r="C25" s="1645">
        <f>+C26+C27</f>
        <v>0</v>
      </c>
      <c r="D25" s="1646">
        <f>+D26+D27</f>
        <v>0</v>
      </c>
    </row>
    <row r="26" spans="1:4" s="1656" customFormat="1" ht="12" customHeight="1">
      <c r="A26" s="1663" t="s">
        <v>228</v>
      </c>
      <c r="B26" s="1664" t="s">
        <v>779</v>
      </c>
      <c r="C26" s="1665"/>
      <c r="D26" s="205"/>
    </row>
    <row r="27" spans="1:4" s="1656" customFormat="1" ht="12" customHeight="1">
      <c r="A27" s="1663" t="s">
        <v>232</v>
      </c>
      <c r="B27" s="1666" t="s">
        <v>783</v>
      </c>
      <c r="C27" s="1667"/>
      <c r="D27" s="183"/>
    </row>
    <row r="28" spans="1:4" s="1656" customFormat="1" ht="12" customHeight="1" thickBot="1">
      <c r="A28" s="1651" t="s">
        <v>784</v>
      </c>
      <c r="B28" s="1668" t="s">
        <v>785</v>
      </c>
      <c r="C28" s="1669"/>
      <c r="D28" s="1670"/>
    </row>
    <row r="29" spans="1:4" s="1656" customFormat="1" ht="12" customHeight="1" thickBot="1">
      <c r="A29" s="1659" t="s">
        <v>233</v>
      </c>
      <c r="B29" s="1660" t="s">
        <v>786</v>
      </c>
      <c r="C29" s="1645">
        <f>+C30+C31+C32</f>
        <v>0</v>
      </c>
      <c r="D29" s="1646">
        <f>+D30+D31+D32</f>
        <v>0</v>
      </c>
    </row>
    <row r="30" spans="1:4" s="1656" customFormat="1" ht="12" customHeight="1">
      <c r="A30" s="1663" t="s">
        <v>235</v>
      </c>
      <c r="B30" s="1664" t="s">
        <v>258</v>
      </c>
      <c r="C30" s="1665"/>
      <c r="D30" s="205"/>
    </row>
    <row r="31" spans="1:4" s="1656" customFormat="1" ht="12" customHeight="1">
      <c r="A31" s="1663" t="s">
        <v>237</v>
      </c>
      <c r="B31" s="1666" t="s">
        <v>260</v>
      </c>
      <c r="C31" s="1667"/>
      <c r="D31" s="183"/>
    </row>
    <row r="32" spans="1:4" s="1656" customFormat="1" ht="12" customHeight="1" thickBot="1">
      <c r="A32" s="1651" t="s">
        <v>239</v>
      </c>
      <c r="B32" s="1671" t="s">
        <v>262</v>
      </c>
      <c r="C32" s="1669"/>
      <c r="D32" s="1670"/>
    </row>
    <row r="33" spans="1:6" s="1647" customFormat="1" ht="12" customHeight="1" thickBot="1">
      <c r="A33" s="1659" t="s">
        <v>255</v>
      </c>
      <c r="B33" s="1660" t="s">
        <v>415</v>
      </c>
      <c r="C33" s="1661"/>
      <c r="D33" s="1662"/>
    </row>
    <row r="34" spans="1:6" s="1647" customFormat="1" ht="12" customHeight="1" thickBot="1">
      <c r="A34" s="1659" t="s">
        <v>392</v>
      </c>
      <c r="B34" s="1660" t="s">
        <v>509</v>
      </c>
      <c r="C34" s="1661"/>
      <c r="D34" s="1672"/>
    </row>
    <row r="35" spans="1:6" s="1647" customFormat="1" ht="12" customHeight="1" thickBot="1">
      <c r="A35" s="1639" t="s">
        <v>277</v>
      </c>
      <c r="B35" s="1660" t="s">
        <v>787</v>
      </c>
      <c r="C35" s="1645">
        <f>+C8+C19+C24+C25+C29+C33+C34</f>
        <v>13928793.720000001</v>
      </c>
      <c r="D35" s="1673">
        <f>+D8+D19+D24+D25+D29+D33+D34</f>
        <v>0</v>
      </c>
    </row>
    <row r="36" spans="1:6" s="1647" customFormat="1" ht="12" customHeight="1" thickBot="1">
      <c r="A36" s="1674" t="s">
        <v>287</v>
      </c>
      <c r="B36" s="1660" t="s">
        <v>788</v>
      </c>
      <c r="C36" s="1645">
        <f>+C37+C38+C39</f>
        <v>50853063</v>
      </c>
      <c r="D36" s="1673">
        <f>+D37+D38+D39</f>
        <v>0</v>
      </c>
    </row>
    <row r="37" spans="1:6" s="1647" customFormat="1" ht="12" customHeight="1">
      <c r="A37" s="1663" t="s">
        <v>789</v>
      </c>
      <c r="B37" s="1664" t="s">
        <v>470</v>
      </c>
      <c r="C37" s="1665"/>
      <c r="D37" s="205"/>
    </row>
    <row r="38" spans="1:6" s="1647" customFormat="1" ht="12" customHeight="1">
      <c r="A38" s="1663" t="s">
        <v>790</v>
      </c>
      <c r="B38" s="1666" t="s">
        <v>791</v>
      </c>
      <c r="C38" s="1665"/>
      <c r="D38" s="183"/>
    </row>
    <row r="39" spans="1:6" s="1656" customFormat="1" ht="12" customHeight="1" thickBot="1">
      <c r="A39" s="1651" t="s">
        <v>792</v>
      </c>
      <c r="B39" s="1671" t="s">
        <v>793</v>
      </c>
      <c r="C39" s="1665">
        <f>Óvoda!W188</f>
        <v>50853063</v>
      </c>
      <c r="D39" s="1670"/>
    </row>
    <row r="40" spans="1:6" s="1656" customFormat="1" ht="15" customHeight="1" thickBot="1">
      <c r="A40" s="1674" t="s">
        <v>404</v>
      </c>
      <c r="B40" s="1675" t="s">
        <v>794</v>
      </c>
      <c r="C40" s="1676">
        <f>+C35+C36</f>
        <v>64781856.719999999</v>
      </c>
      <c r="D40" s="1677">
        <f>+D35+D36</f>
        <v>0</v>
      </c>
    </row>
    <row r="41" spans="1:6" s="1656" customFormat="1" ht="15" customHeight="1">
      <c r="A41" s="1678"/>
      <c r="B41" s="1679"/>
      <c r="C41" s="1680"/>
      <c r="D41" s="1680"/>
    </row>
    <row r="42" spans="1:6" ht="13.5" thickBot="1">
      <c r="A42" s="1681"/>
      <c r="B42" s="1682"/>
      <c r="C42" s="1683"/>
      <c r="D42" s="1683"/>
    </row>
    <row r="43" spans="1:6" s="1643" customFormat="1" ht="16.5" customHeight="1" thickBot="1">
      <c r="A43" s="1818" t="s">
        <v>337</v>
      </c>
      <c r="B43" s="1819"/>
      <c r="C43" s="1819"/>
      <c r="D43" s="1820"/>
    </row>
    <row r="44" spans="1:6" s="1684" customFormat="1" ht="12" customHeight="1" thickBot="1">
      <c r="A44" s="1659" t="s">
        <v>184</v>
      </c>
      <c r="B44" s="1660" t="s">
        <v>795</v>
      </c>
      <c r="C44" s="1645">
        <f>SUM(C45:C49)</f>
        <v>62106356.450000003</v>
      </c>
      <c r="D44" s="1646">
        <f>SUM(D45:D49)</f>
        <v>0</v>
      </c>
    </row>
    <row r="45" spans="1:6" ht="12" customHeight="1">
      <c r="A45" s="1651" t="s">
        <v>186</v>
      </c>
      <c r="B45" s="1658" t="s">
        <v>339</v>
      </c>
      <c r="C45" s="1665">
        <f>Óvoda!W18</f>
        <v>32120342</v>
      </c>
      <c r="D45" s="205"/>
      <c r="E45" s="1685"/>
      <c r="F45" s="1685"/>
    </row>
    <row r="46" spans="1:6" ht="12" customHeight="1">
      <c r="A46" s="1651" t="s">
        <v>188</v>
      </c>
      <c r="B46" s="1652" t="s">
        <v>1</v>
      </c>
      <c r="C46" s="1665">
        <f>Óvoda!W26</f>
        <v>5692964.8499999996</v>
      </c>
      <c r="D46" s="187"/>
      <c r="E46" s="1685"/>
      <c r="F46" s="1685"/>
    </row>
    <row r="47" spans="1:6" ht="12" customHeight="1">
      <c r="A47" s="1651" t="s">
        <v>190</v>
      </c>
      <c r="B47" s="1652" t="s">
        <v>340</v>
      </c>
      <c r="C47" s="1665">
        <f>Óvoda!W82</f>
        <v>24293049.600000001</v>
      </c>
      <c r="D47" s="187"/>
      <c r="E47" s="1685"/>
      <c r="F47" s="1685"/>
    </row>
    <row r="48" spans="1:6" ht="12" customHeight="1">
      <c r="A48" s="1651" t="s">
        <v>192</v>
      </c>
      <c r="B48" s="1652" t="s">
        <v>7</v>
      </c>
      <c r="C48" s="1665"/>
      <c r="D48" s="187"/>
      <c r="E48" s="1685"/>
      <c r="F48" s="1685"/>
    </row>
    <row r="49" spans="1:6" ht="12" customHeight="1" thickBot="1">
      <c r="A49" s="1651" t="s">
        <v>194</v>
      </c>
      <c r="B49" s="1652" t="s">
        <v>11</v>
      </c>
      <c r="C49" s="1665">
        <f>SUM(E49:G49)</f>
        <v>0</v>
      </c>
      <c r="D49" s="187"/>
      <c r="E49" s="1685"/>
      <c r="F49" s="1685"/>
    </row>
    <row r="50" spans="1:6" ht="12" customHeight="1" thickBot="1">
      <c r="A50" s="1659" t="s">
        <v>198</v>
      </c>
      <c r="B50" s="1660" t="s">
        <v>796</v>
      </c>
      <c r="C50" s="1645">
        <f>SUM(C51:C53)</f>
        <v>2675500.1100000003</v>
      </c>
      <c r="D50" s="1646">
        <f>SUM(D51:D53)</f>
        <v>0</v>
      </c>
      <c r="E50" s="1685"/>
      <c r="F50" s="1685"/>
    </row>
    <row r="51" spans="1:6" s="1684" customFormat="1" ht="12" customHeight="1">
      <c r="A51" s="1651" t="s">
        <v>200</v>
      </c>
      <c r="B51" s="1658" t="s">
        <v>3</v>
      </c>
      <c r="C51" s="1665">
        <f>Óvoda!W111</f>
        <v>2675500.1100000003</v>
      </c>
      <c r="D51" s="205"/>
      <c r="E51" s="1686"/>
      <c r="F51" s="1686"/>
    </row>
    <row r="52" spans="1:6" ht="12" customHeight="1">
      <c r="A52" s="1651" t="s">
        <v>202</v>
      </c>
      <c r="B52" s="1652" t="s">
        <v>8</v>
      </c>
      <c r="C52" s="1665">
        <f>SUM(E52:G52)</f>
        <v>0</v>
      </c>
      <c r="D52" s="187"/>
      <c r="E52" s="1685"/>
      <c r="F52" s="1685"/>
    </row>
    <row r="53" spans="1:6" ht="12" customHeight="1">
      <c r="A53" s="1651" t="s">
        <v>204</v>
      </c>
      <c r="B53" s="1652" t="s">
        <v>797</v>
      </c>
      <c r="C53" s="1665">
        <f>SUM(E53:G53)</f>
        <v>0</v>
      </c>
      <c r="D53" s="187"/>
      <c r="E53" s="1685"/>
      <c r="F53" s="1685"/>
    </row>
    <row r="54" spans="1:6" ht="12" customHeight="1" thickBot="1">
      <c r="A54" s="1651" t="s">
        <v>206</v>
      </c>
      <c r="B54" s="1652" t="s">
        <v>798</v>
      </c>
      <c r="C54" s="1665">
        <f>SUM(E54:G54)</f>
        <v>0</v>
      </c>
      <c r="D54" s="187"/>
      <c r="E54" s="1685"/>
      <c r="F54" s="1685"/>
    </row>
    <row r="55" spans="1:6" ht="15" customHeight="1" thickBot="1">
      <c r="A55" s="1659" t="s">
        <v>212</v>
      </c>
      <c r="B55" s="1687" t="s">
        <v>799</v>
      </c>
      <c r="C55" s="1676">
        <f>+C44+C50</f>
        <v>64781856.560000002</v>
      </c>
      <c r="D55" s="1688">
        <f>+D44+D50</f>
        <v>0</v>
      </c>
      <c r="E55" s="1685"/>
      <c r="F55" s="1685"/>
    </row>
    <row r="56" spans="1:6" ht="13.5" thickBot="1">
      <c r="C56" s="1691"/>
      <c r="D56" s="1691"/>
      <c r="E56" s="1685"/>
      <c r="F56" s="1685"/>
    </row>
    <row r="57" spans="1:6" ht="15" customHeight="1" thickBot="1">
      <c r="A57" s="1692" t="s">
        <v>654</v>
      </c>
      <c r="B57" s="1693"/>
      <c r="C57" s="1694">
        <v>9</v>
      </c>
      <c r="D57" s="1695"/>
      <c r="E57" s="1685"/>
      <c r="F57" s="1685"/>
    </row>
    <row r="58" spans="1:6" ht="14.25" customHeight="1" thickBot="1">
      <c r="A58" s="1692" t="s">
        <v>655</v>
      </c>
      <c r="B58" s="1693"/>
      <c r="C58" s="1694">
        <v>0</v>
      </c>
      <c r="D58" s="1695"/>
    </row>
    <row r="59" spans="1:6" ht="12.75" customHeight="1">
      <c r="A59" s="1810"/>
      <c r="B59" s="1810"/>
      <c r="C59" s="1810"/>
      <c r="D59" s="1810"/>
    </row>
  </sheetData>
  <sheetProtection selectLockedCells="1" selectUnlockedCells="1"/>
  <mergeCells count="6">
    <mergeCell ref="A59:D59"/>
    <mergeCell ref="A1:D1"/>
    <mergeCell ref="C2:D3"/>
    <mergeCell ref="C4:D4"/>
    <mergeCell ref="A7:D7"/>
    <mergeCell ref="A43:D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H59"/>
  <sheetViews>
    <sheetView view="pageBreakPreview" zoomScaleNormal="100" zoomScaleSheetLayoutView="100" workbookViewId="0">
      <selection activeCell="J21" sqref="J21"/>
    </sheetView>
  </sheetViews>
  <sheetFormatPr defaultRowHeight="12.75"/>
  <cols>
    <col min="1" max="1" width="11.85546875" style="1689" customWidth="1"/>
    <col min="2" max="2" width="54.5703125" style="1690" customWidth="1"/>
    <col min="3" max="3" width="15.5703125" style="1690" customWidth="1"/>
    <col min="4" max="4" width="15.42578125" style="1690" customWidth="1"/>
    <col min="5" max="256" width="9.140625" style="1638"/>
    <col min="257" max="257" width="11.85546875" style="1638" customWidth="1"/>
    <col min="258" max="258" width="54.5703125" style="1638" customWidth="1"/>
    <col min="259" max="259" width="15.5703125" style="1638" customWidth="1"/>
    <col min="260" max="260" width="15.42578125" style="1638" customWidth="1"/>
    <col min="261" max="512" width="9.140625" style="1638"/>
    <col min="513" max="513" width="11.85546875" style="1638" customWidth="1"/>
    <col min="514" max="514" width="54.5703125" style="1638" customWidth="1"/>
    <col min="515" max="515" width="15.5703125" style="1638" customWidth="1"/>
    <col min="516" max="516" width="15.42578125" style="1638" customWidth="1"/>
    <col min="517" max="768" width="9.140625" style="1638"/>
    <col min="769" max="769" width="11.85546875" style="1638" customWidth="1"/>
    <col min="770" max="770" width="54.5703125" style="1638" customWidth="1"/>
    <col min="771" max="771" width="15.5703125" style="1638" customWidth="1"/>
    <col min="772" max="772" width="15.42578125" style="1638" customWidth="1"/>
    <col min="773" max="1024" width="9.140625" style="1638"/>
    <col min="1025" max="1025" width="11.85546875" style="1638" customWidth="1"/>
    <col min="1026" max="1026" width="54.5703125" style="1638" customWidth="1"/>
    <col min="1027" max="1027" width="15.5703125" style="1638" customWidth="1"/>
    <col min="1028" max="1028" width="15.42578125" style="1638" customWidth="1"/>
    <col min="1029" max="1280" width="9.140625" style="1638"/>
    <col min="1281" max="1281" width="11.85546875" style="1638" customWidth="1"/>
    <col min="1282" max="1282" width="54.5703125" style="1638" customWidth="1"/>
    <col min="1283" max="1283" width="15.5703125" style="1638" customWidth="1"/>
    <col min="1284" max="1284" width="15.42578125" style="1638" customWidth="1"/>
    <col min="1285" max="1536" width="9.140625" style="1638"/>
    <col min="1537" max="1537" width="11.85546875" style="1638" customWidth="1"/>
    <col min="1538" max="1538" width="54.5703125" style="1638" customWidth="1"/>
    <col min="1539" max="1539" width="15.5703125" style="1638" customWidth="1"/>
    <col min="1540" max="1540" width="15.42578125" style="1638" customWidth="1"/>
    <col min="1541" max="1792" width="9.140625" style="1638"/>
    <col min="1793" max="1793" width="11.85546875" style="1638" customWidth="1"/>
    <col min="1794" max="1794" width="54.5703125" style="1638" customWidth="1"/>
    <col min="1795" max="1795" width="15.5703125" style="1638" customWidth="1"/>
    <col min="1796" max="1796" width="15.42578125" style="1638" customWidth="1"/>
    <col min="1797" max="2048" width="9.140625" style="1638"/>
    <col min="2049" max="2049" width="11.85546875" style="1638" customWidth="1"/>
    <col min="2050" max="2050" width="54.5703125" style="1638" customWidth="1"/>
    <col min="2051" max="2051" width="15.5703125" style="1638" customWidth="1"/>
    <col min="2052" max="2052" width="15.42578125" style="1638" customWidth="1"/>
    <col min="2053" max="2304" width="9.140625" style="1638"/>
    <col min="2305" max="2305" width="11.85546875" style="1638" customWidth="1"/>
    <col min="2306" max="2306" width="54.5703125" style="1638" customWidth="1"/>
    <col min="2307" max="2307" width="15.5703125" style="1638" customWidth="1"/>
    <col min="2308" max="2308" width="15.42578125" style="1638" customWidth="1"/>
    <col min="2309" max="2560" width="9.140625" style="1638"/>
    <col min="2561" max="2561" width="11.85546875" style="1638" customWidth="1"/>
    <col min="2562" max="2562" width="54.5703125" style="1638" customWidth="1"/>
    <col min="2563" max="2563" width="15.5703125" style="1638" customWidth="1"/>
    <col min="2564" max="2564" width="15.42578125" style="1638" customWidth="1"/>
    <col min="2565" max="2816" width="9.140625" style="1638"/>
    <col min="2817" max="2817" width="11.85546875" style="1638" customWidth="1"/>
    <col min="2818" max="2818" width="54.5703125" style="1638" customWidth="1"/>
    <col min="2819" max="2819" width="15.5703125" style="1638" customWidth="1"/>
    <col min="2820" max="2820" width="15.42578125" style="1638" customWidth="1"/>
    <col min="2821" max="3072" width="9.140625" style="1638"/>
    <col min="3073" max="3073" width="11.85546875" style="1638" customWidth="1"/>
    <col min="3074" max="3074" width="54.5703125" style="1638" customWidth="1"/>
    <col min="3075" max="3075" width="15.5703125" style="1638" customWidth="1"/>
    <col min="3076" max="3076" width="15.42578125" style="1638" customWidth="1"/>
    <col min="3077" max="3328" width="9.140625" style="1638"/>
    <col min="3329" max="3329" width="11.85546875" style="1638" customWidth="1"/>
    <col min="3330" max="3330" width="54.5703125" style="1638" customWidth="1"/>
    <col min="3331" max="3331" width="15.5703125" style="1638" customWidth="1"/>
    <col min="3332" max="3332" width="15.42578125" style="1638" customWidth="1"/>
    <col min="3333" max="3584" width="9.140625" style="1638"/>
    <col min="3585" max="3585" width="11.85546875" style="1638" customWidth="1"/>
    <col min="3586" max="3586" width="54.5703125" style="1638" customWidth="1"/>
    <col min="3587" max="3587" width="15.5703125" style="1638" customWidth="1"/>
    <col min="3588" max="3588" width="15.42578125" style="1638" customWidth="1"/>
    <col min="3589" max="3840" width="9.140625" style="1638"/>
    <col min="3841" max="3841" width="11.85546875" style="1638" customWidth="1"/>
    <col min="3842" max="3842" width="54.5703125" style="1638" customWidth="1"/>
    <col min="3843" max="3843" width="15.5703125" style="1638" customWidth="1"/>
    <col min="3844" max="3844" width="15.42578125" style="1638" customWidth="1"/>
    <col min="3845" max="4096" width="9.140625" style="1638"/>
    <col min="4097" max="4097" width="11.85546875" style="1638" customWidth="1"/>
    <col min="4098" max="4098" width="54.5703125" style="1638" customWidth="1"/>
    <col min="4099" max="4099" width="15.5703125" style="1638" customWidth="1"/>
    <col min="4100" max="4100" width="15.42578125" style="1638" customWidth="1"/>
    <col min="4101" max="4352" width="9.140625" style="1638"/>
    <col min="4353" max="4353" width="11.85546875" style="1638" customWidth="1"/>
    <col min="4354" max="4354" width="54.5703125" style="1638" customWidth="1"/>
    <col min="4355" max="4355" width="15.5703125" style="1638" customWidth="1"/>
    <col min="4356" max="4356" width="15.42578125" style="1638" customWidth="1"/>
    <col min="4357" max="4608" width="9.140625" style="1638"/>
    <col min="4609" max="4609" width="11.85546875" style="1638" customWidth="1"/>
    <col min="4610" max="4610" width="54.5703125" style="1638" customWidth="1"/>
    <col min="4611" max="4611" width="15.5703125" style="1638" customWidth="1"/>
    <col min="4612" max="4612" width="15.42578125" style="1638" customWidth="1"/>
    <col min="4613" max="4864" width="9.140625" style="1638"/>
    <col min="4865" max="4865" width="11.85546875" style="1638" customWidth="1"/>
    <col min="4866" max="4866" width="54.5703125" style="1638" customWidth="1"/>
    <col min="4867" max="4867" width="15.5703125" style="1638" customWidth="1"/>
    <col min="4868" max="4868" width="15.42578125" style="1638" customWidth="1"/>
    <col min="4869" max="5120" width="9.140625" style="1638"/>
    <col min="5121" max="5121" width="11.85546875" style="1638" customWidth="1"/>
    <col min="5122" max="5122" width="54.5703125" style="1638" customWidth="1"/>
    <col min="5123" max="5123" width="15.5703125" style="1638" customWidth="1"/>
    <col min="5124" max="5124" width="15.42578125" style="1638" customWidth="1"/>
    <col min="5125" max="5376" width="9.140625" style="1638"/>
    <col min="5377" max="5377" width="11.85546875" style="1638" customWidth="1"/>
    <col min="5378" max="5378" width="54.5703125" style="1638" customWidth="1"/>
    <col min="5379" max="5379" width="15.5703125" style="1638" customWidth="1"/>
    <col min="5380" max="5380" width="15.42578125" style="1638" customWidth="1"/>
    <col min="5381" max="5632" width="9.140625" style="1638"/>
    <col min="5633" max="5633" width="11.85546875" style="1638" customWidth="1"/>
    <col min="5634" max="5634" width="54.5703125" style="1638" customWidth="1"/>
    <col min="5635" max="5635" width="15.5703125" style="1638" customWidth="1"/>
    <col min="5636" max="5636" width="15.42578125" style="1638" customWidth="1"/>
    <col min="5637" max="5888" width="9.140625" style="1638"/>
    <col min="5889" max="5889" width="11.85546875" style="1638" customWidth="1"/>
    <col min="5890" max="5890" width="54.5703125" style="1638" customWidth="1"/>
    <col min="5891" max="5891" width="15.5703125" style="1638" customWidth="1"/>
    <col min="5892" max="5892" width="15.42578125" style="1638" customWidth="1"/>
    <col min="5893" max="6144" width="9.140625" style="1638"/>
    <col min="6145" max="6145" width="11.85546875" style="1638" customWidth="1"/>
    <col min="6146" max="6146" width="54.5703125" style="1638" customWidth="1"/>
    <col min="6147" max="6147" width="15.5703125" style="1638" customWidth="1"/>
    <col min="6148" max="6148" width="15.42578125" style="1638" customWidth="1"/>
    <col min="6149" max="6400" width="9.140625" style="1638"/>
    <col min="6401" max="6401" width="11.85546875" style="1638" customWidth="1"/>
    <col min="6402" max="6402" width="54.5703125" style="1638" customWidth="1"/>
    <col min="6403" max="6403" width="15.5703125" style="1638" customWidth="1"/>
    <col min="6404" max="6404" width="15.42578125" style="1638" customWidth="1"/>
    <col min="6405" max="6656" width="9.140625" style="1638"/>
    <col min="6657" max="6657" width="11.85546875" style="1638" customWidth="1"/>
    <col min="6658" max="6658" width="54.5703125" style="1638" customWidth="1"/>
    <col min="6659" max="6659" width="15.5703125" style="1638" customWidth="1"/>
    <col min="6660" max="6660" width="15.42578125" style="1638" customWidth="1"/>
    <col min="6661" max="6912" width="9.140625" style="1638"/>
    <col min="6913" max="6913" width="11.85546875" style="1638" customWidth="1"/>
    <col min="6914" max="6914" width="54.5703125" style="1638" customWidth="1"/>
    <col min="6915" max="6915" width="15.5703125" style="1638" customWidth="1"/>
    <col min="6916" max="6916" width="15.42578125" style="1638" customWidth="1"/>
    <col min="6917" max="7168" width="9.140625" style="1638"/>
    <col min="7169" max="7169" width="11.85546875" style="1638" customWidth="1"/>
    <col min="7170" max="7170" width="54.5703125" style="1638" customWidth="1"/>
    <col min="7171" max="7171" width="15.5703125" style="1638" customWidth="1"/>
    <col min="7172" max="7172" width="15.42578125" style="1638" customWidth="1"/>
    <col min="7173" max="7424" width="9.140625" style="1638"/>
    <col min="7425" max="7425" width="11.85546875" style="1638" customWidth="1"/>
    <col min="7426" max="7426" width="54.5703125" style="1638" customWidth="1"/>
    <col min="7427" max="7427" width="15.5703125" style="1638" customWidth="1"/>
    <col min="7428" max="7428" width="15.42578125" style="1638" customWidth="1"/>
    <col min="7429" max="7680" width="9.140625" style="1638"/>
    <col min="7681" max="7681" width="11.85546875" style="1638" customWidth="1"/>
    <col min="7682" max="7682" width="54.5703125" style="1638" customWidth="1"/>
    <col min="7683" max="7683" width="15.5703125" style="1638" customWidth="1"/>
    <col min="7684" max="7684" width="15.42578125" style="1638" customWidth="1"/>
    <col min="7685" max="7936" width="9.140625" style="1638"/>
    <col min="7937" max="7937" width="11.85546875" style="1638" customWidth="1"/>
    <col min="7938" max="7938" width="54.5703125" style="1638" customWidth="1"/>
    <col min="7939" max="7939" width="15.5703125" style="1638" customWidth="1"/>
    <col min="7940" max="7940" width="15.42578125" style="1638" customWidth="1"/>
    <col min="7941" max="8192" width="9.140625" style="1638"/>
    <col min="8193" max="8193" width="11.85546875" style="1638" customWidth="1"/>
    <col min="8194" max="8194" width="54.5703125" style="1638" customWidth="1"/>
    <col min="8195" max="8195" width="15.5703125" style="1638" customWidth="1"/>
    <col min="8196" max="8196" width="15.42578125" style="1638" customWidth="1"/>
    <col min="8197" max="8448" width="9.140625" style="1638"/>
    <col min="8449" max="8449" width="11.85546875" style="1638" customWidth="1"/>
    <col min="8450" max="8450" width="54.5703125" style="1638" customWidth="1"/>
    <col min="8451" max="8451" width="15.5703125" style="1638" customWidth="1"/>
    <col min="8452" max="8452" width="15.42578125" style="1638" customWidth="1"/>
    <col min="8453" max="8704" width="9.140625" style="1638"/>
    <col min="8705" max="8705" width="11.85546875" style="1638" customWidth="1"/>
    <col min="8706" max="8706" width="54.5703125" style="1638" customWidth="1"/>
    <col min="8707" max="8707" width="15.5703125" style="1638" customWidth="1"/>
    <col min="8708" max="8708" width="15.42578125" style="1638" customWidth="1"/>
    <col min="8709" max="8960" width="9.140625" style="1638"/>
    <col min="8961" max="8961" width="11.85546875" style="1638" customWidth="1"/>
    <col min="8962" max="8962" width="54.5703125" style="1638" customWidth="1"/>
    <col min="8963" max="8963" width="15.5703125" style="1638" customWidth="1"/>
    <col min="8964" max="8964" width="15.42578125" style="1638" customWidth="1"/>
    <col min="8965" max="9216" width="9.140625" style="1638"/>
    <col min="9217" max="9217" width="11.85546875" style="1638" customWidth="1"/>
    <col min="9218" max="9218" width="54.5703125" style="1638" customWidth="1"/>
    <col min="9219" max="9219" width="15.5703125" style="1638" customWidth="1"/>
    <col min="9220" max="9220" width="15.42578125" style="1638" customWidth="1"/>
    <col min="9221" max="9472" width="9.140625" style="1638"/>
    <col min="9473" max="9473" width="11.85546875" style="1638" customWidth="1"/>
    <col min="9474" max="9474" width="54.5703125" style="1638" customWidth="1"/>
    <col min="9475" max="9475" width="15.5703125" style="1638" customWidth="1"/>
    <col min="9476" max="9476" width="15.42578125" style="1638" customWidth="1"/>
    <col min="9477" max="9728" width="9.140625" style="1638"/>
    <col min="9729" max="9729" width="11.85546875" style="1638" customWidth="1"/>
    <col min="9730" max="9730" width="54.5703125" style="1638" customWidth="1"/>
    <col min="9731" max="9731" width="15.5703125" style="1638" customWidth="1"/>
    <col min="9732" max="9732" width="15.42578125" style="1638" customWidth="1"/>
    <col min="9733" max="9984" width="9.140625" style="1638"/>
    <col min="9985" max="9985" width="11.85546875" style="1638" customWidth="1"/>
    <col min="9986" max="9986" width="54.5703125" style="1638" customWidth="1"/>
    <col min="9987" max="9987" width="15.5703125" style="1638" customWidth="1"/>
    <col min="9988" max="9988" width="15.42578125" style="1638" customWidth="1"/>
    <col min="9989" max="10240" width="9.140625" style="1638"/>
    <col min="10241" max="10241" width="11.85546875" style="1638" customWidth="1"/>
    <col min="10242" max="10242" width="54.5703125" style="1638" customWidth="1"/>
    <col min="10243" max="10243" width="15.5703125" style="1638" customWidth="1"/>
    <col min="10244" max="10244" width="15.42578125" style="1638" customWidth="1"/>
    <col min="10245" max="10496" width="9.140625" style="1638"/>
    <col min="10497" max="10497" width="11.85546875" style="1638" customWidth="1"/>
    <col min="10498" max="10498" width="54.5703125" style="1638" customWidth="1"/>
    <col min="10499" max="10499" width="15.5703125" style="1638" customWidth="1"/>
    <col min="10500" max="10500" width="15.42578125" style="1638" customWidth="1"/>
    <col min="10501" max="10752" width="9.140625" style="1638"/>
    <col min="10753" max="10753" width="11.85546875" style="1638" customWidth="1"/>
    <col min="10754" max="10754" width="54.5703125" style="1638" customWidth="1"/>
    <col min="10755" max="10755" width="15.5703125" style="1638" customWidth="1"/>
    <col min="10756" max="10756" width="15.42578125" style="1638" customWidth="1"/>
    <col min="10757" max="11008" width="9.140625" style="1638"/>
    <col min="11009" max="11009" width="11.85546875" style="1638" customWidth="1"/>
    <col min="11010" max="11010" width="54.5703125" style="1638" customWidth="1"/>
    <col min="11011" max="11011" width="15.5703125" style="1638" customWidth="1"/>
    <col min="11012" max="11012" width="15.42578125" style="1638" customWidth="1"/>
    <col min="11013" max="11264" width="9.140625" style="1638"/>
    <col min="11265" max="11265" width="11.85546875" style="1638" customWidth="1"/>
    <col min="11266" max="11266" width="54.5703125" style="1638" customWidth="1"/>
    <col min="11267" max="11267" width="15.5703125" style="1638" customWidth="1"/>
    <col min="11268" max="11268" width="15.42578125" style="1638" customWidth="1"/>
    <col min="11269" max="11520" width="9.140625" style="1638"/>
    <col min="11521" max="11521" width="11.85546875" style="1638" customWidth="1"/>
    <col min="11522" max="11522" width="54.5703125" style="1638" customWidth="1"/>
    <col min="11523" max="11523" width="15.5703125" style="1638" customWidth="1"/>
    <col min="11524" max="11524" width="15.42578125" style="1638" customWidth="1"/>
    <col min="11525" max="11776" width="9.140625" style="1638"/>
    <col min="11777" max="11777" width="11.85546875" style="1638" customWidth="1"/>
    <col min="11778" max="11778" width="54.5703125" style="1638" customWidth="1"/>
    <col min="11779" max="11779" width="15.5703125" style="1638" customWidth="1"/>
    <col min="11780" max="11780" width="15.42578125" style="1638" customWidth="1"/>
    <col min="11781" max="12032" width="9.140625" style="1638"/>
    <col min="12033" max="12033" width="11.85546875" style="1638" customWidth="1"/>
    <col min="12034" max="12034" width="54.5703125" style="1638" customWidth="1"/>
    <col min="12035" max="12035" width="15.5703125" style="1638" customWidth="1"/>
    <col min="12036" max="12036" width="15.42578125" style="1638" customWidth="1"/>
    <col min="12037" max="12288" width="9.140625" style="1638"/>
    <col min="12289" max="12289" width="11.85546875" style="1638" customWidth="1"/>
    <col min="12290" max="12290" width="54.5703125" style="1638" customWidth="1"/>
    <col min="12291" max="12291" width="15.5703125" style="1638" customWidth="1"/>
    <col min="12292" max="12292" width="15.42578125" style="1638" customWidth="1"/>
    <col min="12293" max="12544" width="9.140625" style="1638"/>
    <col min="12545" max="12545" width="11.85546875" style="1638" customWidth="1"/>
    <col min="12546" max="12546" width="54.5703125" style="1638" customWidth="1"/>
    <col min="12547" max="12547" width="15.5703125" style="1638" customWidth="1"/>
    <col min="12548" max="12548" width="15.42578125" style="1638" customWidth="1"/>
    <col min="12549" max="12800" width="9.140625" style="1638"/>
    <col min="12801" max="12801" width="11.85546875" style="1638" customWidth="1"/>
    <col min="12802" max="12802" width="54.5703125" style="1638" customWidth="1"/>
    <col min="12803" max="12803" width="15.5703125" style="1638" customWidth="1"/>
    <col min="12804" max="12804" width="15.42578125" style="1638" customWidth="1"/>
    <col min="12805" max="13056" width="9.140625" style="1638"/>
    <col min="13057" max="13057" width="11.85546875" style="1638" customWidth="1"/>
    <col min="13058" max="13058" width="54.5703125" style="1638" customWidth="1"/>
    <col min="13059" max="13059" width="15.5703125" style="1638" customWidth="1"/>
    <col min="13060" max="13060" width="15.42578125" style="1638" customWidth="1"/>
    <col min="13061" max="13312" width="9.140625" style="1638"/>
    <col min="13313" max="13313" width="11.85546875" style="1638" customWidth="1"/>
    <col min="13314" max="13314" width="54.5703125" style="1638" customWidth="1"/>
    <col min="13315" max="13315" width="15.5703125" style="1638" customWidth="1"/>
    <col min="13316" max="13316" width="15.42578125" style="1638" customWidth="1"/>
    <col min="13317" max="13568" width="9.140625" style="1638"/>
    <col min="13569" max="13569" width="11.85546875" style="1638" customWidth="1"/>
    <col min="13570" max="13570" width="54.5703125" style="1638" customWidth="1"/>
    <col min="13571" max="13571" width="15.5703125" style="1638" customWidth="1"/>
    <col min="13572" max="13572" width="15.42578125" style="1638" customWidth="1"/>
    <col min="13573" max="13824" width="9.140625" style="1638"/>
    <col min="13825" max="13825" width="11.85546875" style="1638" customWidth="1"/>
    <col min="13826" max="13826" width="54.5703125" style="1638" customWidth="1"/>
    <col min="13827" max="13827" width="15.5703125" style="1638" customWidth="1"/>
    <col min="13828" max="13828" width="15.42578125" style="1638" customWidth="1"/>
    <col min="13829" max="14080" width="9.140625" style="1638"/>
    <col min="14081" max="14081" width="11.85546875" style="1638" customWidth="1"/>
    <col min="14082" max="14082" width="54.5703125" style="1638" customWidth="1"/>
    <col min="14083" max="14083" width="15.5703125" style="1638" customWidth="1"/>
    <col min="14084" max="14084" width="15.42578125" style="1638" customWidth="1"/>
    <col min="14085" max="14336" width="9.140625" style="1638"/>
    <col min="14337" max="14337" width="11.85546875" style="1638" customWidth="1"/>
    <col min="14338" max="14338" width="54.5703125" style="1638" customWidth="1"/>
    <col min="14339" max="14339" width="15.5703125" style="1638" customWidth="1"/>
    <col min="14340" max="14340" width="15.42578125" style="1638" customWidth="1"/>
    <col min="14341" max="14592" width="9.140625" style="1638"/>
    <col min="14593" max="14593" width="11.85546875" style="1638" customWidth="1"/>
    <col min="14594" max="14594" width="54.5703125" style="1638" customWidth="1"/>
    <col min="14595" max="14595" width="15.5703125" style="1638" customWidth="1"/>
    <col min="14596" max="14596" width="15.42578125" style="1638" customWidth="1"/>
    <col min="14597" max="14848" width="9.140625" style="1638"/>
    <col min="14849" max="14849" width="11.85546875" style="1638" customWidth="1"/>
    <col min="14850" max="14850" width="54.5703125" style="1638" customWidth="1"/>
    <col min="14851" max="14851" width="15.5703125" style="1638" customWidth="1"/>
    <col min="14852" max="14852" width="15.42578125" style="1638" customWidth="1"/>
    <col min="14853" max="15104" width="9.140625" style="1638"/>
    <col min="15105" max="15105" width="11.85546875" style="1638" customWidth="1"/>
    <col min="15106" max="15106" width="54.5703125" style="1638" customWidth="1"/>
    <col min="15107" max="15107" width="15.5703125" style="1638" customWidth="1"/>
    <col min="15108" max="15108" width="15.42578125" style="1638" customWidth="1"/>
    <col min="15109" max="15360" width="9.140625" style="1638"/>
    <col min="15361" max="15361" width="11.85546875" style="1638" customWidth="1"/>
    <col min="15362" max="15362" width="54.5703125" style="1638" customWidth="1"/>
    <col min="15363" max="15363" width="15.5703125" style="1638" customWidth="1"/>
    <col min="15364" max="15364" width="15.42578125" style="1638" customWidth="1"/>
    <col min="15365" max="15616" width="9.140625" style="1638"/>
    <col min="15617" max="15617" width="11.85546875" style="1638" customWidth="1"/>
    <col min="15618" max="15618" width="54.5703125" style="1638" customWidth="1"/>
    <col min="15619" max="15619" width="15.5703125" style="1638" customWidth="1"/>
    <col min="15620" max="15620" width="15.42578125" style="1638" customWidth="1"/>
    <col min="15621" max="15872" width="9.140625" style="1638"/>
    <col min="15873" max="15873" width="11.85546875" style="1638" customWidth="1"/>
    <col min="15874" max="15874" width="54.5703125" style="1638" customWidth="1"/>
    <col min="15875" max="15875" width="15.5703125" style="1638" customWidth="1"/>
    <col min="15876" max="15876" width="15.42578125" style="1638" customWidth="1"/>
    <col min="15877" max="16128" width="9.140625" style="1638"/>
    <col min="16129" max="16129" width="11.85546875" style="1638" customWidth="1"/>
    <col min="16130" max="16130" width="54.5703125" style="1638" customWidth="1"/>
    <col min="16131" max="16131" width="15.5703125" style="1638" customWidth="1"/>
    <col min="16132" max="16132" width="15.42578125" style="1638" customWidth="1"/>
    <col min="16133" max="16384" width="9.140625" style="1638"/>
  </cols>
  <sheetData>
    <row r="1" spans="1:8" s="1625" customFormat="1" ht="21" customHeight="1" thickBot="1">
      <c r="A1" s="1811" t="s">
        <v>808</v>
      </c>
      <c r="B1" s="1811"/>
      <c r="C1" s="1811"/>
      <c r="D1" s="1811"/>
    </row>
    <row r="2" spans="1:8" s="1628" customFormat="1" ht="25.5" customHeight="1">
      <c r="A2" s="1626" t="s">
        <v>773</v>
      </c>
      <c r="B2" s="1627" t="s">
        <v>800</v>
      </c>
      <c r="C2" s="1812" t="s">
        <v>774</v>
      </c>
      <c r="D2" s="1813"/>
    </row>
    <row r="3" spans="1:8" s="1628" customFormat="1" ht="24.75" thickBot="1">
      <c r="A3" s="1629" t="s">
        <v>179</v>
      </c>
      <c r="B3" s="1630" t="s">
        <v>612</v>
      </c>
      <c r="C3" s="1814"/>
      <c r="D3" s="1815"/>
    </row>
    <row r="4" spans="1:8" s="1632" customFormat="1" ht="15.95" customHeight="1" thickBot="1">
      <c r="A4" s="1631"/>
      <c r="B4" s="1631"/>
      <c r="C4" s="1816" t="s">
        <v>644</v>
      </c>
      <c r="D4" s="1817"/>
    </row>
    <row r="5" spans="1:8" ht="36.75" thickBot="1">
      <c r="A5" s="1700" t="s">
        <v>181</v>
      </c>
      <c r="B5" s="1634" t="s">
        <v>182</v>
      </c>
      <c r="C5" s="1635" t="s">
        <v>771</v>
      </c>
      <c r="D5" s="1636" t="s">
        <v>772</v>
      </c>
      <c r="E5" s="1637"/>
      <c r="F5" s="1637"/>
      <c r="G5" s="1637"/>
      <c r="H5" s="1637"/>
    </row>
    <row r="6" spans="1:8" s="1643" customFormat="1" ht="12.95" customHeight="1" thickBot="1">
      <c r="A6" s="1639">
        <v>1</v>
      </c>
      <c r="B6" s="1640">
        <v>2</v>
      </c>
      <c r="C6" s="1641">
        <v>3</v>
      </c>
      <c r="D6" s="1642">
        <v>4</v>
      </c>
    </row>
    <row r="7" spans="1:8" s="1643" customFormat="1" ht="15.95" customHeight="1" thickBot="1">
      <c r="A7" s="1818" t="s">
        <v>183</v>
      </c>
      <c r="B7" s="1819"/>
      <c r="C7" s="1819"/>
      <c r="D7" s="1820"/>
    </row>
    <row r="8" spans="1:8" s="1647" customFormat="1" ht="12" customHeight="1" thickBot="1">
      <c r="A8" s="1639" t="s">
        <v>184</v>
      </c>
      <c r="B8" s="1644" t="s">
        <v>775</v>
      </c>
      <c r="C8" s="1645">
        <f>SUM(C9:C18)</f>
        <v>13928793.720000001</v>
      </c>
      <c r="D8" s="1646">
        <f>SUM(D9:D18)</f>
        <v>0</v>
      </c>
    </row>
    <row r="9" spans="1:8" s="1647" customFormat="1" ht="12" customHeight="1">
      <c r="A9" s="1648" t="s">
        <v>186</v>
      </c>
      <c r="B9" s="1649" t="s">
        <v>236</v>
      </c>
      <c r="C9" s="1650"/>
      <c r="D9" s="160"/>
    </row>
    <row r="10" spans="1:8" s="1647" customFormat="1" ht="12" customHeight="1">
      <c r="A10" s="1651" t="s">
        <v>188</v>
      </c>
      <c r="B10" s="1652" t="s">
        <v>238</v>
      </c>
      <c r="C10" s="1653">
        <f>Óvoda!W165</f>
        <v>7200000</v>
      </c>
      <c r="D10" s="165"/>
    </row>
    <row r="11" spans="1:8" s="1647" customFormat="1" ht="12" customHeight="1">
      <c r="A11" s="1651" t="s">
        <v>190</v>
      </c>
      <c r="B11" s="1652" t="s">
        <v>240</v>
      </c>
      <c r="C11" s="1653"/>
      <c r="D11" s="165"/>
    </row>
    <row r="12" spans="1:8" s="1647" customFormat="1" ht="12" customHeight="1">
      <c r="A12" s="1651" t="s">
        <v>192</v>
      </c>
      <c r="B12" s="1652" t="s">
        <v>242</v>
      </c>
      <c r="C12" s="1653"/>
      <c r="D12" s="165"/>
    </row>
    <row r="13" spans="1:8" s="1647" customFormat="1" ht="12" customHeight="1">
      <c r="A13" s="1651" t="s">
        <v>194</v>
      </c>
      <c r="B13" s="1652" t="s">
        <v>244</v>
      </c>
      <c r="C13" s="1653">
        <f>Óvoda!W169</f>
        <v>1100000</v>
      </c>
      <c r="D13" s="165"/>
    </row>
    <row r="14" spans="1:8" s="1647" customFormat="1" ht="12" customHeight="1">
      <c r="A14" s="1651" t="s">
        <v>196</v>
      </c>
      <c r="B14" s="1652" t="s">
        <v>776</v>
      </c>
      <c r="C14" s="1653">
        <f>Óvoda!W170</f>
        <v>2241000</v>
      </c>
      <c r="D14" s="165"/>
    </row>
    <row r="15" spans="1:8" s="1647" customFormat="1" ht="12" customHeight="1">
      <c r="A15" s="1651" t="s">
        <v>343</v>
      </c>
      <c r="B15" s="1654" t="s">
        <v>777</v>
      </c>
      <c r="C15" s="1653">
        <f>Óvoda!W171</f>
        <v>3382293.72</v>
      </c>
      <c r="D15" s="165"/>
    </row>
    <row r="16" spans="1:8" s="1647" customFormat="1" ht="12" customHeight="1">
      <c r="A16" s="1651" t="s">
        <v>345</v>
      </c>
      <c r="B16" s="1652" t="s">
        <v>250</v>
      </c>
      <c r="C16" s="1655">
        <f>Óvoda!W172</f>
        <v>5000</v>
      </c>
      <c r="D16" s="201"/>
    </row>
    <row r="17" spans="1:4" s="1656" customFormat="1" ht="12" customHeight="1">
      <c r="A17" s="1651" t="s">
        <v>347</v>
      </c>
      <c r="B17" s="1652" t="s">
        <v>252</v>
      </c>
      <c r="C17" s="1653"/>
      <c r="D17" s="165"/>
    </row>
    <row r="18" spans="1:4" s="1656" customFormat="1" ht="12" customHeight="1" thickBot="1">
      <c r="A18" s="1651" t="s">
        <v>349</v>
      </c>
      <c r="B18" s="1654" t="s">
        <v>254</v>
      </c>
      <c r="C18" s="1657">
        <f>Óvoda!W173</f>
        <v>500</v>
      </c>
      <c r="D18" s="172"/>
    </row>
    <row r="19" spans="1:4" s="1647" customFormat="1" ht="12" customHeight="1" thickBot="1">
      <c r="A19" s="1639" t="s">
        <v>198</v>
      </c>
      <c r="B19" s="1644" t="s">
        <v>778</v>
      </c>
      <c r="C19" s="1645">
        <f>SUM(C20:C22)</f>
        <v>0</v>
      </c>
      <c r="D19" s="1646">
        <f>SUM(D20:D22)</f>
        <v>0</v>
      </c>
    </row>
    <row r="20" spans="1:4" s="1656" customFormat="1" ht="12" customHeight="1">
      <c r="A20" s="1651" t="s">
        <v>200</v>
      </c>
      <c r="B20" s="1658" t="s">
        <v>201</v>
      </c>
      <c r="C20" s="1653"/>
      <c r="D20" s="165"/>
    </row>
    <row r="21" spans="1:4" s="1656" customFormat="1" ht="12" customHeight="1">
      <c r="A21" s="1651" t="s">
        <v>202</v>
      </c>
      <c r="B21" s="1652" t="s">
        <v>779</v>
      </c>
      <c r="C21" s="1653"/>
      <c r="D21" s="165"/>
    </row>
    <row r="22" spans="1:4" s="1656" customFormat="1" ht="12" customHeight="1">
      <c r="A22" s="1651" t="s">
        <v>204</v>
      </c>
      <c r="B22" s="1652" t="s">
        <v>780</v>
      </c>
      <c r="C22" s="1653"/>
      <c r="D22" s="165"/>
    </row>
    <row r="23" spans="1:4" s="1656" customFormat="1" ht="12" customHeight="1" thickBot="1">
      <c r="A23" s="1651" t="s">
        <v>206</v>
      </c>
      <c r="B23" s="1652" t="s">
        <v>781</v>
      </c>
      <c r="C23" s="1653"/>
      <c r="D23" s="165"/>
    </row>
    <row r="24" spans="1:4" s="1656" customFormat="1" ht="12" customHeight="1" thickBot="1">
      <c r="A24" s="1659" t="s">
        <v>212</v>
      </c>
      <c r="B24" s="1660" t="s">
        <v>5</v>
      </c>
      <c r="C24" s="1661"/>
      <c r="D24" s="1662"/>
    </row>
    <row r="25" spans="1:4" s="1656" customFormat="1" ht="12" customHeight="1" thickBot="1">
      <c r="A25" s="1659" t="s">
        <v>381</v>
      </c>
      <c r="B25" s="1660" t="s">
        <v>782</v>
      </c>
      <c r="C25" s="1645">
        <f>+C26+C27</f>
        <v>0</v>
      </c>
      <c r="D25" s="1646">
        <f>+D26+D27</f>
        <v>0</v>
      </c>
    </row>
    <row r="26" spans="1:4" s="1656" customFormat="1" ht="12" customHeight="1">
      <c r="A26" s="1663" t="s">
        <v>228</v>
      </c>
      <c r="B26" s="1664" t="s">
        <v>779</v>
      </c>
      <c r="C26" s="1665"/>
      <c r="D26" s="205"/>
    </row>
    <row r="27" spans="1:4" s="1656" customFormat="1" ht="12" customHeight="1">
      <c r="A27" s="1663" t="s">
        <v>232</v>
      </c>
      <c r="B27" s="1666" t="s">
        <v>783</v>
      </c>
      <c r="C27" s="1667"/>
      <c r="D27" s="183"/>
    </row>
    <row r="28" spans="1:4" s="1656" customFormat="1" ht="12" customHeight="1" thickBot="1">
      <c r="A28" s="1651" t="s">
        <v>784</v>
      </c>
      <c r="B28" s="1668" t="s">
        <v>785</v>
      </c>
      <c r="C28" s="1669"/>
      <c r="D28" s="1670"/>
    </row>
    <row r="29" spans="1:4" s="1656" customFormat="1" ht="12" customHeight="1" thickBot="1">
      <c r="A29" s="1659" t="s">
        <v>233</v>
      </c>
      <c r="B29" s="1660" t="s">
        <v>786</v>
      </c>
      <c r="C29" s="1645">
        <f>+C30+C31+C32</f>
        <v>0</v>
      </c>
      <c r="D29" s="1646">
        <f>+D30+D31+D32</f>
        <v>0</v>
      </c>
    </row>
    <row r="30" spans="1:4" s="1656" customFormat="1" ht="12" customHeight="1">
      <c r="A30" s="1663" t="s">
        <v>235</v>
      </c>
      <c r="B30" s="1664" t="s">
        <v>258</v>
      </c>
      <c r="C30" s="1665"/>
      <c r="D30" s="205"/>
    </row>
    <row r="31" spans="1:4" s="1656" customFormat="1" ht="12" customHeight="1">
      <c r="A31" s="1663" t="s">
        <v>237</v>
      </c>
      <c r="B31" s="1666" t="s">
        <v>260</v>
      </c>
      <c r="C31" s="1667"/>
      <c r="D31" s="183"/>
    </row>
    <row r="32" spans="1:4" s="1656" customFormat="1" ht="12" customHeight="1" thickBot="1">
      <c r="A32" s="1651" t="s">
        <v>239</v>
      </c>
      <c r="B32" s="1671" t="s">
        <v>262</v>
      </c>
      <c r="C32" s="1669"/>
      <c r="D32" s="1670"/>
    </row>
    <row r="33" spans="1:6" s="1647" customFormat="1" ht="12" customHeight="1" thickBot="1">
      <c r="A33" s="1659" t="s">
        <v>255</v>
      </c>
      <c r="B33" s="1660" t="s">
        <v>415</v>
      </c>
      <c r="C33" s="1661"/>
      <c r="D33" s="1662"/>
    </row>
    <row r="34" spans="1:6" s="1647" customFormat="1" ht="12" customHeight="1" thickBot="1">
      <c r="A34" s="1659" t="s">
        <v>392</v>
      </c>
      <c r="B34" s="1660" t="s">
        <v>509</v>
      </c>
      <c r="C34" s="1661"/>
      <c r="D34" s="1672"/>
    </row>
    <row r="35" spans="1:6" s="1647" customFormat="1" ht="12" customHeight="1" thickBot="1">
      <c r="A35" s="1639" t="s">
        <v>277</v>
      </c>
      <c r="B35" s="1660" t="s">
        <v>787</v>
      </c>
      <c r="C35" s="1645">
        <f>+C8+C19+C24+C25+C29+C33+C34</f>
        <v>13928793.720000001</v>
      </c>
      <c r="D35" s="1673">
        <f>+D8+D19+D24+D25+D29+D33+D34</f>
        <v>0</v>
      </c>
    </row>
    <row r="36" spans="1:6" s="1647" customFormat="1" ht="12" customHeight="1" thickBot="1">
      <c r="A36" s="1674" t="s">
        <v>287</v>
      </c>
      <c r="B36" s="1660" t="s">
        <v>788</v>
      </c>
      <c r="C36" s="1645">
        <f>+C37+C38+C39</f>
        <v>50853063</v>
      </c>
      <c r="D36" s="1673">
        <f>+D37+D38+D39</f>
        <v>0</v>
      </c>
    </row>
    <row r="37" spans="1:6" s="1647" customFormat="1" ht="12" customHeight="1">
      <c r="A37" s="1663" t="s">
        <v>789</v>
      </c>
      <c r="B37" s="1664" t="s">
        <v>470</v>
      </c>
      <c r="C37" s="1665"/>
      <c r="D37" s="205"/>
    </row>
    <row r="38" spans="1:6" s="1647" customFormat="1" ht="12" customHeight="1">
      <c r="A38" s="1663" t="s">
        <v>790</v>
      </c>
      <c r="B38" s="1666" t="s">
        <v>791</v>
      </c>
      <c r="C38" s="1665"/>
      <c r="D38" s="183"/>
    </row>
    <row r="39" spans="1:6" s="1656" customFormat="1" ht="12" customHeight="1" thickBot="1">
      <c r="A39" s="1651" t="s">
        <v>792</v>
      </c>
      <c r="B39" s="1671" t="s">
        <v>793</v>
      </c>
      <c r="C39" s="1665">
        <f>Óvoda!W188</f>
        <v>50853063</v>
      </c>
      <c r="D39" s="1670"/>
    </row>
    <row r="40" spans="1:6" s="1656" customFormat="1" ht="15" customHeight="1" thickBot="1">
      <c r="A40" s="1674" t="s">
        <v>404</v>
      </c>
      <c r="B40" s="1675" t="s">
        <v>794</v>
      </c>
      <c r="C40" s="1676">
        <f>+C35+C36</f>
        <v>64781856.719999999</v>
      </c>
      <c r="D40" s="1677">
        <f>+D35+D36</f>
        <v>0</v>
      </c>
    </row>
    <row r="41" spans="1:6" s="1656" customFormat="1" ht="15" customHeight="1">
      <c r="A41" s="1678"/>
      <c r="B41" s="1679"/>
      <c r="C41" s="1680"/>
      <c r="D41" s="1680"/>
    </row>
    <row r="42" spans="1:6" ht="13.5" thickBot="1">
      <c r="A42" s="1681"/>
      <c r="B42" s="1682"/>
      <c r="C42" s="1683"/>
      <c r="D42" s="1683"/>
    </row>
    <row r="43" spans="1:6" s="1643" customFormat="1" ht="16.5" customHeight="1" thickBot="1">
      <c r="A43" s="1818" t="s">
        <v>337</v>
      </c>
      <c r="B43" s="1819"/>
      <c r="C43" s="1819"/>
      <c r="D43" s="1820"/>
    </row>
    <row r="44" spans="1:6" s="1684" customFormat="1" ht="12" customHeight="1" thickBot="1">
      <c r="A44" s="1659" t="s">
        <v>184</v>
      </c>
      <c r="B44" s="1660" t="s">
        <v>795</v>
      </c>
      <c r="C44" s="1645">
        <f>SUM(C45:C49)</f>
        <v>62106356.450000003</v>
      </c>
      <c r="D44" s="1646">
        <f>SUM(D45:D49)</f>
        <v>0</v>
      </c>
    </row>
    <row r="45" spans="1:6" ht="12" customHeight="1">
      <c r="A45" s="1651" t="s">
        <v>186</v>
      </c>
      <c r="B45" s="1658" t="s">
        <v>339</v>
      </c>
      <c r="C45" s="1665">
        <f>Óvoda!W18</f>
        <v>32120342</v>
      </c>
      <c r="D45" s="205"/>
      <c r="E45" s="1685"/>
      <c r="F45" s="1685"/>
    </row>
    <row r="46" spans="1:6" ht="12" customHeight="1">
      <c r="A46" s="1651" t="s">
        <v>188</v>
      </c>
      <c r="B46" s="1652" t="s">
        <v>1</v>
      </c>
      <c r="C46" s="1665">
        <f>Óvoda!W26</f>
        <v>5692964.8499999996</v>
      </c>
      <c r="D46" s="187"/>
      <c r="E46" s="1685"/>
      <c r="F46" s="1685"/>
    </row>
    <row r="47" spans="1:6" ht="12" customHeight="1">
      <c r="A47" s="1651" t="s">
        <v>190</v>
      </c>
      <c r="B47" s="1652" t="s">
        <v>340</v>
      </c>
      <c r="C47" s="1665">
        <f>Óvoda!W82</f>
        <v>24293049.600000001</v>
      </c>
      <c r="D47" s="187"/>
      <c r="E47" s="1685"/>
      <c r="F47" s="1685"/>
    </row>
    <row r="48" spans="1:6" ht="12" customHeight="1">
      <c r="A48" s="1651" t="s">
        <v>192</v>
      </c>
      <c r="B48" s="1652" t="s">
        <v>7</v>
      </c>
      <c r="C48" s="1665"/>
      <c r="D48" s="187"/>
      <c r="E48" s="1685"/>
      <c r="F48" s="1685"/>
    </row>
    <row r="49" spans="1:6" ht="12" customHeight="1" thickBot="1">
      <c r="A49" s="1651" t="s">
        <v>194</v>
      </c>
      <c r="B49" s="1652" t="s">
        <v>11</v>
      </c>
      <c r="C49" s="1665">
        <f>SUM(E49:G49)</f>
        <v>0</v>
      </c>
      <c r="D49" s="187"/>
      <c r="E49" s="1685"/>
      <c r="F49" s="1685"/>
    </row>
    <row r="50" spans="1:6" ht="12" customHeight="1" thickBot="1">
      <c r="A50" s="1659" t="s">
        <v>198</v>
      </c>
      <c r="B50" s="1660" t="s">
        <v>796</v>
      </c>
      <c r="C50" s="1645">
        <f>SUM(C51:C53)</f>
        <v>2675500.1100000003</v>
      </c>
      <c r="D50" s="1646">
        <f>SUM(D51:D53)</f>
        <v>0</v>
      </c>
      <c r="E50" s="1685"/>
      <c r="F50" s="1685"/>
    </row>
    <row r="51" spans="1:6" s="1684" customFormat="1" ht="12" customHeight="1">
      <c r="A51" s="1651" t="s">
        <v>200</v>
      </c>
      <c r="B51" s="1658" t="s">
        <v>3</v>
      </c>
      <c r="C51" s="1665">
        <f>Óvoda!W111</f>
        <v>2675500.1100000003</v>
      </c>
      <c r="D51" s="205"/>
      <c r="E51" s="1686"/>
      <c r="F51" s="1686"/>
    </row>
    <row r="52" spans="1:6" ht="12" customHeight="1">
      <c r="A52" s="1651" t="s">
        <v>202</v>
      </c>
      <c r="B52" s="1652" t="s">
        <v>8</v>
      </c>
      <c r="C52" s="1665">
        <f>SUM(E52:G52)</f>
        <v>0</v>
      </c>
      <c r="D52" s="187"/>
      <c r="E52" s="1685"/>
      <c r="F52" s="1685"/>
    </row>
    <row r="53" spans="1:6" ht="12" customHeight="1">
      <c r="A53" s="1651" t="s">
        <v>204</v>
      </c>
      <c r="B53" s="1652" t="s">
        <v>797</v>
      </c>
      <c r="C53" s="1665">
        <f>SUM(E53:G53)</f>
        <v>0</v>
      </c>
      <c r="D53" s="187"/>
      <c r="E53" s="1685"/>
      <c r="F53" s="1685"/>
    </row>
    <row r="54" spans="1:6" ht="12" customHeight="1" thickBot="1">
      <c r="A54" s="1651" t="s">
        <v>206</v>
      </c>
      <c r="B54" s="1652" t="s">
        <v>798</v>
      </c>
      <c r="C54" s="1665">
        <f>SUM(E54:G54)</f>
        <v>0</v>
      </c>
      <c r="D54" s="187"/>
      <c r="E54" s="1685"/>
      <c r="F54" s="1685"/>
    </row>
    <row r="55" spans="1:6" ht="15" customHeight="1" thickBot="1">
      <c r="A55" s="1659" t="s">
        <v>212</v>
      </c>
      <c r="B55" s="1687" t="s">
        <v>799</v>
      </c>
      <c r="C55" s="1676">
        <f>+C44+C50</f>
        <v>64781856.560000002</v>
      </c>
      <c r="D55" s="1688">
        <f>+D44+D50</f>
        <v>0</v>
      </c>
      <c r="E55" s="1685"/>
      <c r="F55" s="1685"/>
    </row>
    <row r="56" spans="1:6" ht="13.5" thickBot="1">
      <c r="C56" s="1691"/>
      <c r="D56" s="1691"/>
      <c r="E56" s="1685"/>
      <c r="F56" s="1685"/>
    </row>
    <row r="57" spans="1:6" ht="15" customHeight="1" thickBot="1">
      <c r="A57" s="1692" t="s">
        <v>654</v>
      </c>
      <c r="B57" s="1693"/>
      <c r="C57" s="1694">
        <v>9</v>
      </c>
      <c r="D57" s="1695"/>
      <c r="E57" s="1685"/>
      <c r="F57" s="1685"/>
    </row>
    <row r="58" spans="1:6" ht="14.25" customHeight="1" thickBot="1">
      <c r="A58" s="1692" t="s">
        <v>655</v>
      </c>
      <c r="B58" s="1693"/>
      <c r="C58" s="1694">
        <v>0</v>
      </c>
      <c r="D58" s="1695"/>
    </row>
    <row r="59" spans="1:6" ht="12.75" customHeight="1">
      <c r="A59" s="1810"/>
      <c r="B59" s="1810"/>
      <c r="C59" s="1810"/>
      <c r="D59" s="1810"/>
    </row>
  </sheetData>
  <sheetProtection selectLockedCells="1" selectUnlockedCells="1"/>
  <mergeCells count="6">
    <mergeCell ref="A1:D1"/>
    <mergeCell ref="C2:D3"/>
    <mergeCell ref="C4:D4"/>
    <mergeCell ref="A7:D7"/>
    <mergeCell ref="A43:D43"/>
    <mergeCell ref="A59:D59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Q33"/>
  <sheetViews>
    <sheetView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45.140625" style="348" customWidth="1"/>
    <col min="2" max="2" width="14.140625" style="348" customWidth="1"/>
    <col min="3" max="3" width="12.85546875" style="348" customWidth="1"/>
    <col min="4" max="4" width="11.28515625" style="348" customWidth="1"/>
    <col min="5" max="7" width="9.140625" style="286" hidden="1" customWidth="1"/>
    <col min="8" max="16384" width="9.140625" style="286"/>
  </cols>
  <sheetData>
    <row r="1" spans="1:17">
      <c r="A1" s="1848" t="s">
        <v>806</v>
      </c>
      <c r="B1" s="1849"/>
      <c r="C1" s="1849"/>
      <c r="D1" s="1849"/>
      <c r="E1" s="1849"/>
      <c r="F1" s="1849"/>
      <c r="G1" s="1849"/>
    </row>
    <row r="2" spans="1:17" ht="57.75" customHeight="1">
      <c r="A2" s="1850" t="s">
        <v>807</v>
      </c>
      <c r="B2" s="1851"/>
      <c r="C2" s="1851"/>
      <c r="D2" s="1851"/>
      <c r="E2" s="1851"/>
      <c r="F2" s="1851"/>
      <c r="G2" s="1851"/>
    </row>
    <row r="3" spans="1:17">
      <c r="A3" s="288"/>
      <c r="B3" s="289"/>
      <c r="C3" s="289"/>
      <c r="D3" s="289"/>
      <c r="E3" s="287"/>
      <c r="F3" s="287"/>
      <c r="G3" s="287"/>
    </row>
    <row r="4" spans="1:17" ht="15.75" thickBot="1">
      <c r="A4" s="288"/>
      <c r="B4" s="289"/>
      <c r="C4" s="1852" t="s">
        <v>649</v>
      </c>
      <c r="D4" s="1852"/>
      <c r="E4" s="287"/>
      <c r="F4" s="287"/>
      <c r="G4" s="287"/>
    </row>
    <row r="5" spans="1:17">
      <c r="A5" s="1853" t="s">
        <v>510</v>
      </c>
      <c r="B5" s="290" t="s">
        <v>511</v>
      </c>
      <c r="C5" s="1855" t="s">
        <v>380</v>
      </c>
      <c r="D5" s="1856"/>
      <c r="E5" s="291"/>
      <c r="F5" s="291"/>
      <c r="G5" s="291"/>
    </row>
    <row r="6" spans="1:17" ht="30" thickBot="1">
      <c r="A6" s="1854"/>
      <c r="B6" s="292" t="s">
        <v>512</v>
      </c>
      <c r="C6" s="293" t="s">
        <v>513</v>
      </c>
      <c r="D6" s="294" t="s">
        <v>514</v>
      </c>
      <c r="E6" s="291"/>
      <c r="F6" s="291"/>
      <c r="G6" s="291"/>
    </row>
    <row r="7" spans="1:17">
      <c r="A7" s="295" t="s">
        <v>379</v>
      </c>
      <c r="B7" s="296">
        <f>'1.1 Összesítő'!C123</f>
        <v>3690000</v>
      </c>
      <c r="C7" s="297"/>
      <c r="D7" s="298"/>
      <c r="E7" s="291"/>
      <c r="F7" s="291"/>
      <c r="G7" s="291"/>
    </row>
    <row r="8" spans="1:17" ht="15.95" customHeight="1">
      <c r="A8" s="299" t="s">
        <v>803</v>
      </c>
      <c r="B8" s="300"/>
      <c r="C8" s="1698"/>
      <c r="D8" s="302">
        <f>'1.1 Összesítő'!C124</f>
        <v>4072552</v>
      </c>
      <c r="E8" s="303"/>
      <c r="F8" s="303"/>
      <c r="G8" s="303"/>
      <c r="M8" s="1847"/>
      <c r="N8" s="1847"/>
      <c r="O8" s="1847"/>
      <c r="P8" s="1847"/>
      <c r="Q8" s="1847"/>
    </row>
    <row r="9" spans="1:17" s="307" customFormat="1" ht="15.95" customHeight="1">
      <c r="A9" s="308"/>
      <c r="B9" s="305"/>
      <c r="C9" s="306"/>
      <c r="D9" s="302"/>
      <c r="E9" s="291"/>
      <c r="F9" s="291"/>
      <c r="G9" s="291"/>
      <c r="M9" s="1847"/>
      <c r="N9" s="1847"/>
      <c r="O9" s="1847"/>
      <c r="P9" s="1847"/>
      <c r="Q9" s="1847"/>
    </row>
    <row r="10" spans="1:17" ht="15.95" customHeight="1">
      <c r="A10" s="308"/>
      <c r="B10" s="300"/>
      <c r="C10" s="301"/>
      <c r="D10" s="302"/>
      <c r="E10" s="303"/>
      <c r="F10" s="303"/>
      <c r="G10" s="303"/>
      <c r="M10" s="1847"/>
      <c r="N10" s="1847"/>
      <c r="O10" s="1847"/>
      <c r="P10" s="1847"/>
      <c r="Q10" s="1847"/>
    </row>
    <row r="11" spans="1:17" ht="15.75">
      <c r="A11" s="657"/>
      <c r="B11" s="658"/>
      <c r="C11" s="659"/>
      <c r="D11" s="660"/>
      <c r="E11" s="312">
        <v>0</v>
      </c>
      <c r="F11" s="313">
        <v>0</v>
      </c>
      <c r="G11" s="313">
        <v>0</v>
      </c>
      <c r="M11" s="1847"/>
      <c r="N11" s="1847"/>
      <c r="O11" s="1847"/>
      <c r="P11" s="1847"/>
      <c r="Q11" s="1847"/>
    </row>
    <row r="12" spans="1:17" ht="15.75">
      <c r="A12" s="314"/>
      <c r="B12" s="315"/>
      <c r="C12" s="316"/>
      <c r="D12" s="317"/>
      <c r="E12" s="318"/>
      <c r="F12" s="319"/>
      <c r="G12" s="319"/>
      <c r="M12" s="1847"/>
      <c r="N12" s="1847"/>
      <c r="O12" s="1847"/>
      <c r="P12" s="1847"/>
      <c r="Q12" s="1847"/>
    </row>
    <row r="13" spans="1:17" s="324" customFormat="1" ht="15.75">
      <c r="A13" s="304"/>
      <c r="B13" s="320"/>
      <c r="C13" s="321"/>
      <c r="D13" s="322"/>
      <c r="E13" s="323"/>
      <c r="F13" s="323"/>
      <c r="G13" s="323"/>
      <c r="M13" s="1847"/>
      <c r="N13" s="1847"/>
      <c r="O13" s="1847"/>
      <c r="P13" s="1847"/>
      <c r="Q13" s="1847"/>
    </row>
    <row r="14" spans="1:17" ht="15.75">
      <c r="A14" s="314"/>
      <c r="B14" s="315"/>
      <c r="C14" s="316"/>
      <c r="D14" s="317"/>
      <c r="E14" s="318"/>
      <c r="F14" s="319"/>
      <c r="G14" s="319"/>
      <c r="M14" s="1847"/>
      <c r="N14" s="1847"/>
      <c r="O14" s="1847"/>
      <c r="P14" s="1847"/>
      <c r="Q14" s="1847"/>
    </row>
    <row r="15" spans="1:17" ht="15.75">
      <c r="A15" s="304"/>
      <c r="B15" s="325"/>
      <c r="C15" s="326"/>
      <c r="D15" s="327"/>
      <c r="E15" s="328">
        <v>0</v>
      </c>
      <c r="F15" s="329">
        <v>0</v>
      </c>
      <c r="G15" s="329">
        <v>0</v>
      </c>
      <c r="M15" s="1847"/>
      <c r="N15" s="1847"/>
      <c r="O15" s="1847"/>
      <c r="P15" s="1847"/>
      <c r="Q15" s="1847"/>
    </row>
    <row r="16" spans="1:17" ht="15.75">
      <c r="A16" s="314"/>
      <c r="B16" s="330"/>
      <c r="C16" s="316"/>
      <c r="D16" s="317"/>
      <c r="E16" s="318"/>
      <c r="F16" s="319"/>
      <c r="G16" s="319"/>
      <c r="M16" s="1847"/>
      <c r="N16" s="1847"/>
      <c r="O16" s="1847"/>
      <c r="P16" s="1847"/>
      <c r="Q16" s="1847"/>
    </row>
    <row r="17" spans="1:17" ht="15.75">
      <c r="A17" s="314"/>
      <c r="B17" s="330"/>
      <c r="C17" s="316"/>
      <c r="D17" s="317"/>
      <c r="E17" s="318"/>
      <c r="F17" s="319"/>
      <c r="G17" s="319"/>
      <c r="M17" s="1847"/>
      <c r="N17" s="1847"/>
      <c r="O17" s="1847"/>
      <c r="P17" s="1847"/>
      <c r="Q17" s="1847"/>
    </row>
    <row r="18" spans="1:17" ht="15.75">
      <c r="A18" s="314"/>
      <c r="B18" s="330"/>
      <c r="C18" s="316"/>
      <c r="D18" s="317"/>
      <c r="E18" s="318"/>
      <c r="F18" s="319"/>
      <c r="G18" s="319"/>
      <c r="M18" s="1847"/>
      <c r="N18" s="1847"/>
      <c r="O18" s="1847"/>
      <c r="P18" s="1847"/>
      <c r="Q18" s="1847"/>
    </row>
    <row r="19" spans="1:17" ht="15.75">
      <c r="A19" s="314"/>
      <c r="B19" s="330"/>
      <c r="C19" s="316"/>
      <c r="D19" s="317"/>
      <c r="E19" s="318"/>
      <c r="F19" s="319"/>
      <c r="G19" s="319"/>
      <c r="M19" s="1847"/>
      <c r="N19" s="1847"/>
      <c r="O19" s="1847"/>
      <c r="P19" s="1847"/>
      <c r="Q19" s="1847"/>
    </row>
    <row r="20" spans="1:17" ht="15.75">
      <c r="A20" s="314"/>
      <c r="B20" s="330"/>
      <c r="C20" s="316"/>
      <c r="D20" s="317"/>
      <c r="E20" s="318"/>
      <c r="F20" s="319"/>
      <c r="G20" s="319"/>
      <c r="M20" s="1847"/>
      <c r="N20" s="1847"/>
      <c r="O20" s="1847"/>
      <c r="P20" s="1847"/>
      <c r="Q20" s="1847"/>
    </row>
    <row r="21" spans="1:17" ht="15.75">
      <c r="A21" s="314"/>
      <c r="B21" s="330"/>
      <c r="C21" s="316"/>
      <c r="D21" s="317"/>
      <c r="E21" s="318"/>
      <c r="F21" s="319"/>
      <c r="G21" s="319"/>
      <c r="M21" s="1847"/>
      <c r="N21" s="1847"/>
      <c r="O21" s="1847"/>
      <c r="P21" s="1847"/>
      <c r="Q21" s="1847"/>
    </row>
    <row r="22" spans="1:17" ht="15.75">
      <c r="A22" s="314"/>
      <c r="B22" s="330"/>
      <c r="C22" s="316"/>
      <c r="D22" s="317"/>
      <c r="E22" s="318"/>
      <c r="F22" s="319"/>
      <c r="G22" s="319"/>
    </row>
    <row r="23" spans="1:17" ht="15.75">
      <c r="A23" s="314"/>
      <c r="B23" s="330"/>
      <c r="C23" s="316"/>
      <c r="D23" s="317"/>
      <c r="E23" s="318"/>
      <c r="F23" s="319"/>
      <c r="G23" s="319"/>
    </row>
    <row r="24" spans="1:17" ht="15.75">
      <c r="A24" s="314"/>
      <c r="B24" s="315"/>
      <c r="C24" s="331"/>
      <c r="D24" s="332"/>
      <c r="E24" s="312"/>
      <c r="F24" s="313"/>
      <c r="G24" s="313"/>
    </row>
    <row r="25" spans="1:17" ht="15.75">
      <c r="A25" s="333"/>
      <c r="B25" s="309"/>
      <c r="C25" s="310"/>
      <c r="D25" s="311"/>
      <c r="E25" s="334"/>
      <c r="F25" s="335"/>
      <c r="G25" s="335"/>
    </row>
    <row r="26" spans="1:17" ht="15.75">
      <c r="A26" s="336"/>
      <c r="B26" s="315"/>
      <c r="C26" s="331"/>
      <c r="D26" s="332"/>
      <c r="E26" s="337"/>
      <c r="F26" s="338"/>
      <c r="G26" s="338"/>
    </row>
    <row r="27" spans="1:17" ht="15.75">
      <c r="A27" s="336"/>
      <c r="B27" s="315"/>
      <c r="C27" s="331"/>
      <c r="D27" s="332"/>
      <c r="E27" s="337"/>
      <c r="F27" s="338"/>
      <c r="G27" s="338"/>
    </row>
    <row r="28" spans="1:17" ht="15.75">
      <c r="A28" s="333"/>
      <c r="B28" s="309"/>
      <c r="C28" s="310"/>
      <c r="D28" s="311"/>
      <c r="E28" s="337"/>
      <c r="F28" s="338"/>
      <c r="G28" s="338"/>
    </row>
    <row r="29" spans="1:17" ht="15.75">
      <c r="A29" s="336"/>
      <c r="B29" s="315"/>
      <c r="C29" s="331"/>
      <c r="D29" s="332"/>
      <c r="E29" s="337"/>
      <c r="F29" s="338"/>
      <c r="G29" s="338"/>
    </row>
    <row r="30" spans="1:17" ht="15.75">
      <c r="A30" s="333"/>
      <c r="B30" s="309"/>
      <c r="C30" s="310"/>
      <c r="D30" s="311"/>
      <c r="E30" s="337"/>
      <c r="F30" s="338"/>
      <c r="G30" s="338"/>
    </row>
    <row r="31" spans="1:17" ht="16.5" thickBot="1">
      <c r="A31" s="336"/>
      <c r="B31" s="339"/>
      <c r="C31" s="340"/>
      <c r="D31" s="341"/>
      <c r="E31" s="337"/>
      <c r="F31" s="338"/>
      <c r="G31" s="338"/>
    </row>
    <row r="32" spans="1:17" ht="16.5" thickBot="1">
      <c r="A32" s="342" t="s">
        <v>515</v>
      </c>
      <c r="B32" s="343">
        <f>SUM(B30+B25+B15+B13+B11+B9+B7+B28)</f>
        <v>3690000</v>
      </c>
      <c r="C32" s="344">
        <f>SUM(C30+C25+C15+C13+C11+C9+C7+C28)+C8</f>
        <v>0</v>
      </c>
      <c r="D32" s="345">
        <f>SUM(D7:D31)</f>
        <v>4072552</v>
      </c>
      <c r="E32" s="346" t="e">
        <v>#REF!</v>
      </c>
      <c r="F32" s="347" t="e">
        <v>#REF!</v>
      </c>
      <c r="G32" s="347" t="e">
        <v>#REF!</v>
      </c>
    </row>
    <row r="33" spans="1:4" ht="30" customHeight="1">
      <c r="A33" s="1846"/>
      <c r="B33" s="1846"/>
      <c r="C33" s="1846"/>
      <c r="D33" s="1846"/>
    </row>
  </sheetData>
  <sheetProtection selectLockedCells="1" selectUnlockedCells="1"/>
  <mergeCells count="7">
    <mergeCell ref="A33:D33"/>
    <mergeCell ref="M8:Q21"/>
    <mergeCell ref="A1:G1"/>
    <mergeCell ref="A2:G2"/>
    <mergeCell ref="C4:D4"/>
    <mergeCell ref="A5:A6"/>
    <mergeCell ref="C5:D5"/>
  </mergeCells>
  <pageMargins left="0.7" right="0.7" top="0.75" bottom="0.75" header="0.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G50"/>
  <sheetViews>
    <sheetView view="pageBreakPreview" zoomScaleNormal="100" zoomScaleSheetLayoutView="100" workbookViewId="0">
      <selection activeCell="C8" sqref="C8"/>
    </sheetView>
  </sheetViews>
  <sheetFormatPr defaultColWidth="9.140625" defaultRowHeight="12.75"/>
  <cols>
    <col min="1" max="1" width="4.7109375" style="407" customWidth="1"/>
    <col min="2" max="2" width="28.42578125" style="407" customWidth="1"/>
    <col min="3" max="3" width="15.42578125" style="407" customWidth="1"/>
    <col min="4" max="4" width="9.85546875" style="407" customWidth="1"/>
    <col min="5" max="5" width="9.7109375" style="407" customWidth="1"/>
    <col min="6" max="6" width="9.42578125" style="407" customWidth="1"/>
    <col min="7" max="7" width="12.28515625" style="407" customWidth="1"/>
    <col min="8" max="16384" width="9.140625" style="407"/>
  </cols>
  <sheetData>
    <row r="1" spans="1:7" ht="43.5" customHeight="1">
      <c r="A1" s="1857" t="s">
        <v>531</v>
      </c>
      <c r="B1" s="1857"/>
      <c r="C1" s="1857"/>
      <c r="D1" s="1857"/>
      <c r="E1" s="1857"/>
      <c r="F1" s="1857"/>
      <c r="G1" s="1857"/>
    </row>
    <row r="3" spans="1:7" s="410" customFormat="1" ht="27" customHeight="1">
      <c r="A3" s="408" t="s">
        <v>532</v>
      </c>
      <c r="B3" s="409"/>
      <c r="C3" s="1858" t="s">
        <v>675</v>
      </c>
      <c r="D3" s="1858"/>
      <c r="E3" s="1858"/>
      <c r="F3" s="1858"/>
      <c r="G3" s="1858"/>
    </row>
    <row r="4" spans="1:7" s="410" customFormat="1" ht="15.75">
      <c r="A4" s="409"/>
      <c r="B4" s="409"/>
      <c r="C4" s="409"/>
      <c r="D4" s="409"/>
      <c r="E4" s="409"/>
      <c r="F4" s="409"/>
      <c r="G4" s="409"/>
    </row>
    <row r="5" spans="1:7" s="410" customFormat="1" ht="24.75" customHeight="1">
      <c r="A5" s="408" t="s">
        <v>533</v>
      </c>
      <c r="B5" s="409"/>
      <c r="C5" s="1858"/>
      <c r="D5" s="1858"/>
      <c r="E5" s="1858"/>
      <c r="F5" s="1858"/>
      <c r="G5" s="409"/>
    </row>
    <row r="6" spans="1:7" s="412" customFormat="1">
      <c r="A6" s="411"/>
      <c r="B6" s="411"/>
      <c r="C6" s="411"/>
      <c r="D6" s="411"/>
      <c r="E6" s="411"/>
      <c r="F6" s="411"/>
      <c r="G6" s="411"/>
    </row>
    <row r="7" spans="1:7" s="414" customFormat="1" ht="15" customHeight="1">
      <c r="A7" s="598" t="s">
        <v>600</v>
      </c>
      <c r="B7" s="598"/>
      <c r="C7" s="1024">
        <f>'7.1 Önkormányzat'!C146</f>
        <v>237796875.48999998</v>
      </c>
      <c r="D7" s="598"/>
      <c r="E7" s="413"/>
      <c r="F7" s="413"/>
      <c r="G7" s="413"/>
    </row>
    <row r="8" spans="1:7" s="414" customFormat="1" ht="33" customHeight="1" thickBot="1">
      <c r="A8" s="1860" t="s">
        <v>601</v>
      </c>
      <c r="B8" s="1860"/>
      <c r="C8" s="413"/>
      <c r="D8" s="413"/>
      <c r="E8" s="413"/>
      <c r="F8" s="413"/>
      <c r="G8" s="413"/>
    </row>
    <row r="9" spans="1:7" s="418" customFormat="1" ht="42" customHeight="1" thickBot="1">
      <c r="A9" s="415" t="s">
        <v>491</v>
      </c>
      <c r="B9" s="416" t="s">
        <v>534</v>
      </c>
      <c r="C9" s="416" t="s">
        <v>535</v>
      </c>
      <c r="D9" s="416" t="s">
        <v>536</v>
      </c>
      <c r="E9" s="416" t="s">
        <v>537</v>
      </c>
      <c r="F9" s="416" t="s">
        <v>538</v>
      </c>
      <c r="G9" s="417" t="s">
        <v>539</v>
      </c>
    </row>
    <row r="10" spans="1:7" ht="24" customHeight="1">
      <c r="A10" s="419" t="s">
        <v>184</v>
      </c>
      <c r="B10" s="420" t="s">
        <v>540</v>
      </c>
      <c r="C10" s="421"/>
      <c r="D10" s="421"/>
      <c r="E10" s="421"/>
      <c r="F10" s="421"/>
      <c r="G10" s="422">
        <f>SUM(C10:F10)</f>
        <v>0</v>
      </c>
    </row>
    <row r="11" spans="1:7" ht="24" customHeight="1">
      <c r="A11" s="423" t="s">
        <v>198</v>
      </c>
      <c r="B11" s="424" t="s">
        <v>541</v>
      </c>
      <c r="C11" s="425"/>
      <c r="D11" s="425"/>
      <c r="E11" s="425"/>
      <c r="F11" s="425"/>
      <c r="G11" s="426">
        <f>SUM(C11:F11)</f>
        <v>0</v>
      </c>
    </row>
    <row r="12" spans="1:7" ht="24" customHeight="1">
      <c r="A12" s="423" t="s">
        <v>212</v>
      </c>
      <c r="B12" s="424" t="s">
        <v>542</v>
      </c>
      <c r="C12" s="425"/>
      <c r="D12" s="425"/>
      <c r="E12" s="425"/>
      <c r="F12" s="425"/>
      <c r="G12" s="426">
        <f>SUM(C12:F12)</f>
        <v>0</v>
      </c>
    </row>
    <row r="13" spans="1:7" ht="24" customHeight="1">
      <c r="A13" s="423" t="s">
        <v>381</v>
      </c>
      <c r="B13" s="424" t="s">
        <v>543</v>
      </c>
      <c r="C13" s="425"/>
      <c r="D13" s="425"/>
      <c r="E13" s="425"/>
      <c r="F13" s="425"/>
      <c r="G13" s="426">
        <f>SUM(C13:F13)</f>
        <v>0</v>
      </c>
    </row>
    <row r="14" spans="1:7" ht="24" customHeight="1">
      <c r="A14" s="423" t="s">
        <v>233</v>
      </c>
      <c r="B14" s="424" t="s">
        <v>544</v>
      </c>
      <c r="C14" s="425"/>
      <c r="D14" s="425"/>
      <c r="E14" s="425"/>
      <c r="F14" s="425"/>
      <c r="G14" s="426">
        <f>SUM(C14:F14)</f>
        <v>0</v>
      </c>
    </row>
    <row r="15" spans="1:7" ht="24" customHeight="1" thickBot="1">
      <c r="A15" s="427" t="s">
        <v>255</v>
      </c>
      <c r="B15" s="428" t="s">
        <v>660</v>
      </c>
      <c r="C15" s="429"/>
      <c r="D15" s="429"/>
      <c r="E15" s="429"/>
      <c r="F15" s="429"/>
      <c r="G15" s="430"/>
    </row>
    <row r="16" spans="1:7" s="435" customFormat="1" ht="24" customHeight="1" thickBot="1">
      <c r="A16" s="431" t="s">
        <v>392</v>
      </c>
      <c r="B16" s="432" t="s">
        <v>539</v>
      </c>
      <c r="C16" s="433">
        <f>SUM(C10:C15)</f>
        <v>0</v>
      </c>
      <c r="D16" s="433">
        <f>SUM(D10:D15)</f>
        <v>0</v>
      </c>
      <c r="E16" s="433">
        <f>SUM(E10:E15)</f>
        <v>0</v>
      </c>
      <c r="F16" s="433">
        <f>SUM(F10:F15)</f>
        <v>0</v>
      </c>
      <c r="G16" s="434">
        <f>SUM(C16:F16)</f>
        <v>0</v>
      </c>
    </row>
    <row r="17" spans="1:7" s="412" customFormat="1">
      <c r="A17" s="411"/>
      <c r="B17" s="411"/>
      <c r="C17" s="411"/>
      <c r="D17" s="411"/>
      <c r="E17" s="411"/>
      <c r="F17" s="411"/>
      <c r="G17" s="411"/>
    </row>
    <row r="18" spans="1:7" s="412" customFormat="1">
      <c r="A18" s="411"/>
      <c r="B18" s="411"/>
      <c r="C18" s="411"/>
      <c r="D18" s="411"/>
      <c r="E18" s="411"/>
      <c r="F18" s="411"/>
      <c r="G18" s="411"/>
    </row>
    <row r="19" spans="1:7" s="412" customFormat="1">
      <c r="A19" s="411"/>
      <c r="B19" s="411"/>
      <c r="C19" s="411"/>
      <c r="D19" s="411"/>
      <c r="E19" s="411"/>
      <c r="F19" s="411"/>
      <c r="G19" s="411"/>
    </row>
    <row r="20" spans="1:7" s="412" customFormat="1" ht="15.75">
      <c r="A20" s="1858" t="s">
        <v>816</v>
      </c>
      <c r="B20" s="1858"/>
      <c r="C20" s="411"/>
      <c r="D20" s="411"/>
      <c r="E20" s="411"/>
      <c r="F20" s="411"/>
      <c r="G20" s="411"/>
    </row>
    <row r="21" spans="1:7" s="412" customFormat="1">
      <c r="A21" s="411"/>
      <c r="B21" s="411"/>
      <c r="C21" s="411"/>
      <c r="D21" s="411"/>
      <c r="E21" s="411"/>
      <c r="F21" s="411"/>
      <c r="G21" s="411"/>
    </row>
    <row r="22" spans="1:7">
      <c r="A22" s="411"/>
      <c r="B22" s="411"/>
      <c r="C22" s="411"/>
      <c r="D22" s="411"/>
      <c r="E22" s="411"/>
      <c r="F22" s="411"/>
      <c r="G22" s="411"/>
    </row>
    <row r="23" spans="1:7">
      <c r="A23" s="411"/>
      <c r="B23" s="411"/>
      <c r="C23" s="1861" t="s">
        <v>716</v>
      </c>
      <c r="D23" s="1861"/>
      <c r="E23" s="1861"/>
      <c r="F23" s="1861"/>
      <c r="G23" s="411"/>
    </row>
    <row r="24" spans="1:7" ht="15" customHeight="1">
      <c r="A24" s="411"/>
      <c r="B24" s="411"/>
      <c r="C24" s="1859" t="s">
        <v>545</v>
      </c>
      <c r="D24" s="1859"/>
      <c r="E24" s="1859"/>
      <c r="F24" s="1859"/>
      <c r="G24" s="411"/>
    </row>
    <row r="25" spans="1:7" ht="13.5">
      <c r="C25" s="436"/>
      <c r="D25" s="437"/>
      <c r="E25" s="437"/>
      <c r="F25" s="436"/>
    </row>
    <row r="26" spans="1:7" ht="18" customHeight="1"/>
    <row r="27" spans="1:7" ht="15.75">
      <c r="A27" s="1857" t="s">
        <v>531</v>
      </c>
      <c r="B27" s="1857"/>
      <c r="C27" s="1857"/>
      <c r="D27" s="1857"/>
      <c r="E27" s="1857"/>
      <c r="F27" s="1857"/>
      <c r="G27" s="1857"/>
    </row>
    <row r="29" spans="1:7" ht="15.75">
      <c r="A29" s="408" t="s">
        <v>532</v>
      </c>
      <c r="B29" s="409"/>
      <c r="C29" s="1858" t="s">
        <v>674</v>
      </c>
      <c r="D29" s="1858"/>
      <c r="E29" s="1858"/>
      <c r="F29" s="1858"/>
      <c r="G29" s="1858"/>
    </row>
    <row r="30" spans="1:7" ht="15.75">
      <c r="A30" s="409"/>
      <c r="B30" s="409"/>
      <c r="C30" s="409"/>
      <c r="D30" s="409"/>
      <c r="E30" s="409"/>
      <c r="F30" s="409"/>
      <c r="G30" s="409"/>
    </row>
    <row r="31" spans="1:7" ht="15.75">
      <c r="A31" s="408" t="s">
        <v>533</v>
      </c>
      <c r="B31" s="409"/>
      <c r="C31" s="1858"/>
      <c r="D31" s="1858"/>
      <c r="E31" s="1858"/>
      <c r="F31" s="1858"/>
      <c r="G31" s="409"/>
    </row>
    <row r="32" spans="1:7">
      <c r="A32" s="411"/>
      <c r="B32" s="411"/>
      <c r="C32" s="411"/>
      <c r="D32" s="411"/>
      <c r="E32" s="411"/>
      <c r="F32" s="411"/>
      <c r="G32" s="411"/>
    </row>
    <row r="33" spans="1:7" ht="15">
      <c r="A33" s="598" t="s">
        <v>600</v>
      </c>
      <c r="B33" s="598"/>
      <c r="C33" s="1024">
        <f>'7.2 Óvoda'!C55</f>
        <v>64781856.560000002</v>
      </c>
      <c r="D33" s="598"/>
      <c r="E33" s="413"/>
      <c r="F33" s="413"/>
      <c r="G33" s="413"/>
    </row>
    <row r="34" spans="1:7" ht="15.75" thickBot="1">
      <c r="A34" s="1860" t="s">
        <v>601</v>
      </c>
      <c r="B34" s="1860"/>
      <c r="C34" s="413"/>
      <c r="D34" s="413"/>
      <c r="E34" s="413"/>
      <c r="F34" s="413"/>
      <c r="G34" s="413"/>
    </row>
    <row r="35" spans="1:7" ht="36.75" thickBot="1">
      <c r="A35" s="415" t="s">
        <v>491</v>
      </c>
      <c r="B35" s="416" t="s">
        <v>534</v>
      </c>
      <c r="C35" s="416" t="s">
        <v>535</v>
      </c>
      <c r="D35" s="416" t="s">
        <v>536</v>
      </c>
      <c r="E35" s="416" t="s">
        <v>537</v>
      </c>
      <c r="F35" s="416" t="s">
        <v>538</v>
      </c>
      <c r="G35" s="417" t="s">
        <v>539</v>
      </c>
    </row>
    <row r="36" spans="1:7">
      <c r="A36" s="419" t="s">
        <v>184</v>
      </c>
      <c r="B36" s="420" t="s">
        <v>540</v>
      </c>
      <c r="C36" s="421"/>
      <c r="D36" s="421"/>
      <c r="E36" s="421"/>
      <c r="F36" s="421"/>
      <c r="G36" s="422">
        <f>SUM(C36:F36)</f>
        <v>0</v>
      </c>
    </row>
    <row r="37" spans="1:7" ht="22.5">
      <c r="A37" s="423" t="s">
        <v>198</v>
      </c>
      <c r="B37" s="424" t="s">
        <v>541</v>
      </c>
      <c r="C37" s="425"/>
      <c r="D37" s="425"/>
      <c r="E37" s="425"/>
      <c r="F37" s="425"/>
      <c r="G37" s="426">
        <f>SUM(C37:F37)</f>
        <v>0</v>
      </c>
    </row>
    <row r="38" spans="1:7" ht="22.5">
      <c r="A38" s="423" t="s">
        <v>212</v>
      </c>
      <c r="B38" s="424" t="s">
        <v>542</v>
      </c>
      <c r="C38" s="425"/>
      <c r="D38" s="425"/>
      <c r="E38" s="425"/>
      <c r="F38" s="425"/>
      <c r="G38" s="426">
        <f>SUM(C38:F38)</f>
        <v>0</v>
      </c>
    </row>
    <row r="39" spans="1:7">
      <c r="A39" s="423" t="s">
        <v>381</v>
      </c>
      <c r="B39" s="424" t="s">
        <v>543</v>
      </c>
      <c r="C39" s="425"/>
      <c r="D39" s="425"/>
      <c r="E39" s="425"/>
      <c r="F39" s="425"/>
      <c r="G39" s="426">
        <f>SUM(C39:F39)</f>
        <v>0</v>
      </c>
    </row>
    <row r="40" spans="1:7" ht="22.5">
      <c r="A40" s="423" t="s">
        <v>233</v>
      </c>
      <c r="B40" s="424" t="s">
        <v>544</v>
      </c>
      <c r="C40" s="425"/>
      <c r="D40" s="425"/>
      <c r="E40" s="425"/>
      <c r="F40" s="425"/>
      <c r="G40" s="426">
        <f>SUM(C40:F40)</f>
        <v>0</v>
      </c>
    </row>
    <row r="41" spans="1:7" ht="13.5" thickBot="1">
      <c r="A41" s="427" t="s">
        <v>255</v>
      </c>
      <c r="B41" s="428" t="s">
        <v>660</v>
      </c>
      <c r="C41" s="429"/>
      <c r="D41" s="429"/>
      <c r="E41" s="429"/>
      <c r="F41" s="429"/>
      <c r="G41" s="430"/>
    </row>
    <row r="42" spans="1:7" ht="13.5" thickBot="1">
      <c r="A42" s="431" t="s">
        <v>392</v>
      </c>
      <c r="B42" s="432" t="s">
        <v>539</v>
      </c>
      <c r="C42" s="433">
        <f>SUM(C36:C41)</f>
        <v>0</v>
      </c>
      <c r="D42" s="433">
        <f>SUM(D36:D41)</f>
        <v>0</v>
      </c>
      <c r="E42" s="433">
        <f>SUM(E36:E41)</f>
        <v>0</v>
      </c>
      <c r="F42" s="433">
        <f>SUM(F36:F41)</f>
        <v>0</v>
      </c>
      <c r="G42" s="434">
        <f>SUM(C42:F42)</f>
        <v>0</v>
      </c>
    </row>
    <row r="43" spans="1:7">
      <c r="A43" s="411"/>
      <c r="B43" s="411"/>
      <c r="C43" s="411"/>
      <c r="D43" s="411"/>
      <c r="E43" s="411"/>
      <c r="F43" s="411"/>
      <c r="G43" s="411"/>
    </row>
    <row r="44" spans="1:7">
      <c r="A44" s="411"/>
      <c r="B44" s="411"/>
      <c r="C44" s="411"/>
      <c r="D44" s="411"/>
      <c r="E44" s="411"/>
      <c r="F44" s="411"/>
      <c r="G44" s="411"/>
    </row>
    <row r="45" spans="1:7">
      <c r="A45" s="411"/>
      <c r="B45" s="411"/>
      <c r="C45" s="411"/>
      <c r="D45" s="411"/>
      <c r="E45" s="411"/>
      <c r="F45" s="411"/>
      <c r="G45" s="411"/>
    </row>
    <row r="46" spans="1:7" ht="15.75">
      <c r="A46" s="1858" t="s">
        <v>816</v>
      </c>
      <c r="B46" s="1858"/>
      <c r="C46" s="411"/>
      <c r="D46" s="411"/>
      <c r="E46" s="411"/>
      <c r="F46" s="411"/>
      <c r="G46" s="411"/>
    </row>
    <row r="47" spans="1:7">
      <c r="A47" s="411"/>
      <c r="B47" s="411"/>
      <c r="C47" s="411"/>
      <c r="D47" s="411"/>
      <c r="E47" s="411"/>
      <c r="F47" s="411"/>
      <c r="G47" s="411"/>
    </row>
    <row r="48" spans="1:7">
      <c r="A48" s="411"/>
      <c r="B48" s="411"/>
      <c r="C48" s="411"/>
      <c r="D48" s="411"/>
      <c r="E48" s="411"/>
      <c r="F48" s="411"/>
      <c r="G48" s="411"/>
    </row>
    <row r="49" spans="1:7">
      <c r="A49" s="411"/>
      <c r="B49" s="411"/>
      <c r="C49" s="1861" t="s">
        <v>685</v>
      </c>
      <c r="D49" s="1861"/>
      <c r="E49" s="1861"/>
      <c r="F49" s="1861"/>
      <c r="G49" s="411"/>
    </row>
    <row r="50" spans="1:7" ht="13.5">
      <c r="A50" s="411"/>
      <c r="B50" s="411"/>
      <c r="C50" s="1859" t="s">
        <v>545</v>
      </c>
      <c r="D50" s="1859"/>
      <c r="E50" s="1859"/>
      <c r="F50" s="1859"/>
      <c r="G50" s="411"/>
    </row>
  </sheetData>
  <sheetProtection selectLockedCells="1" selectUnlockedCells="1"/>
  <mergeCells count="14">
    <mergeCell ref="C49:F49"/>
    <mergeCell ref="C50:F50"/>
    <mergeCell ref="A27:G27"/>
    <mergeCell ref="C29:G29"/>
    <mergeCell ref="C31:F31"/>
    <mergeCell ref="A34:B34"/>
    <mergeCell ref="A46:B46"/>
    <mergeCell ref="A1:G1"/>
    <mergeCell ref="C3:G3"/>
    <mergeCell ref="C5:F5"/>
    <mergeCell ref="A20:B20"/>
    <mergeCell ref="C24:F24"/>
    <mergeCell ref="A8:B8"/>
    <mergeCell ref="C23:F23"/>
  </mergeCells>
  <printOptions horizontalCentered="1"/>
  <pageMargins left="0.78740157480314965" right="0.78740157480314965" top="1.1417322834645669" bottom="0.98425196850393704" header="0.78740157480314965" footer="0.78740157480314965"/>
  <pageSetup paperSize="9" scale="94" orientation="portrait" r:id="rId1"/>
  <headerFooter alignWithMargins="0">
    <oddHeader>&amp;C&amp;"Times New Roman CE,Félkövér"&amp;12
&amp;R&amp;"Times New Roman CE,Félkövér dőlt" 9. melléklet a ..../2020. (I......) önkormányzati rendelethez</oddHeader>
  </headerFooter>
  <rowBreaks count="1" manualBreakCount="1">
    <brk id="2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Q82"/>
  <sheetViews>
    <sheetView view="pageBreakPreview" zoomScaleNormal="100" zoomScaleSheetLayoutView="100" workbookViewId="0">
      <selection sqref="A1:O1"/>
    </sheetView>
  </sheetViews>
  <sheetFormatPr defaultColWidth="9.140625" defaultRowHeight="15.75"/>
  <cols>
    <col min="1" max="1" width="4.140625" style="463" customWidth="1"/>
    <col min="2" max="2" width="26.7109375" style="462" customWidth="1"/>
    <col min="3" max="14" width="10.7109375" style="462" customWidth="1"/>
    <col min="15" max="15" width="10.85546875" style="463" customWidth="1"/>
    <col min="16" max="17" width="9.140625" style="1026"/>
    <col min="18" max="16384" width="9.140625" style="462"/>
  </cols>
  <sheetData>
    <row r="1" spans="1:17" ht="31.5" customHeight="1">
      <c r="A1" s="1862" t="s">
        <v>830</v>
      </c>
      <c r="B1" s="1863"/>
      <c r="C1" s="1863"/>
      <c r="D1" s="1863"/>
      <c r="E1" s="1863"/>
      <c r="F1" s="1863"/>
      <c r="G1" s="1863"/>
      <c r="H1" s="1863"/>
      <c r="I1" s="1863"/>
      <c r="J1" s="1863"/>
      <c r="K1" s="1863"/>
      <c r="L1" s="1863"/>
      <c r="M1" s="1863"/>
      <c r="N1" s="1863"/>
      <c r="O1" s="1863"/>
    </row>
    <row r="2" spans="1:17" ht="16.5" thickBot="1">
      <c r="O2" s="464" t="s">
        <v>644</v>
      </c>
    </row>
    <row r="3" spans="1:17" s="463" customFormat="1" ht="26.1" customHeight="1" thickBot="1">
      <c r="A3" s="465" t="s">
        <v>554</v>
      </c>
      <c r="B3" s="466" t="s">
        <v>176</v>
      </c>
      <c r="C3" s="466" t="s">
        <v>555</v>
      </c>
      <c r="D3" s="466" t="s">
        <v>556</v>
      </c>
      <c r="E3" s="466" t="s">
        <v>557</v>
      </c>
      <c r="F3" s="466" t="s">
        <v>558</v>
      </c>
      <c r="G3" s="466" t="s">
        <v>559</v>
      </c>
      <c r="H3" s="466" t="s">
        <v>560</v>
      </c>
      <c r="I3" s="466" t="s">
        <v>561</v>
      </c>
      <c r="J3" s="466" t="s">
        <v>562</v>
      </c>
      <c r="K3" s="466" t="s">
        <v>563</v>
      </c>
      <c r="L3" s="466" t="s">
        <v>564</v>
      </c>
      <c r="M3" s="466" t="s">
        <v>565</v>
      </c>
      <c r="N3" s="466" t="s">
        <v>566</v>
      </c>
      <c r="O3" s="467" t="s">
        <v>12</v>
      </c>
      <c r="P3" s="1027"/>
      <c r="Q3" s="1027"/>
    </row>
    <row r="4" spans="1:17" s="469" customFormat="1" ht="15" customHeight="1" thickBot="1">
      <c r="A4" s="468" t="s">
        <v>184</v>
      </c>
      <c r="B4" s="1864" t="s">
        <v>183</v>
      </c>
      <c r="C4" s="1865"/>
      <c r="D4" s="1865"/>
      <c r="E4" s="1865"/>
      <c r="F4" s="1865"/>
      <c r="G4" s="1865"/>
      <c r="H4" s="1865"/>
      <c r="I4" s="1865"/>
      <c r="J4" s="1865"/>
      <c r="K4" s="1865"/>
      <c r="L4" s="1865"/>
      <c r="M4" s="1865"/>
      <c r="N4" s="1865"/>
      <c r="O4" s="1866"/>
      <c r="P4" s="1028"/>
      <c r="Q4" s="1028"/>
    </row>
    <row r="5" spans="1:17" s="469" customFormat="1" ht="22.5">
      <c r="A5" s="470" t="s">
        <v>198</v>
      </c>
      <c r="B5" s="471" t="s">
        <v>411</v>
      </c>
      <c r="C5" s="472">
        <v>7486773</v>
      </c>
      <c r="D5" s="472">
        <v>7486773</v>
      </c>
      <c r="E5" s="472">
        <v>7486773</v>
      </c>
      <c r="F5" s="472">
        <v>7486773</v>
      </c>
      <c r="G5" s="472">
        <v>7486773</v>
      </c>
      <c r="H5" s="472">
        <v>7486773</v>
      </c>
      <c r="I5" s="472">
        <v>7486773</v>
      </c>
      <c r="J5" s="472">
        <v>7486773</v>
      </c>
      <c r="K5" s="472">
        <v>7486773</v>
      </c>
      <c r="L5" s="472">
        <v>7486773</v>
      </c>
      <c r="M5" s="472">
        <v>7486773</v>
      </c>
      <c r="N5" s="472">
        <v>7486780</v>
      </c>
      <c r="O5" s="473">
        <f t="shared" ref="O5:O14" si="0">SUM(C5:N5)</f>
        <v>89841283</v>
      </c>
      <c r="P5" s="1028"/>
      <c r="Q5" s="1028"/>
    </row>
    <row r="6" spans="1:17" s="478" customFormat="1" ht="22.5">
      <c r="A6" s="474" t="s">
        <v>212</v>
      </c>
      <c r="B6" s="475" t="s">
        <v>567</v>
      </c>
      <c r="C6" s="476">
        <v>2506312</v>
      </c>
      <c r="D6" s="476">
        <v>2506308</v>
      </c>
      <c r="E6" s="476">
        <v>2506308</v>
      </c>
      <c r="F6" s="476">
        <v>1969433</v>
      </c>
      <c r="G6" s="476">
        <v>1969433</v>
      </c>
      <c r="H6" s="476">
        <v>1969433</v>
      </c>
      <c r="I6" s="476">
        <v>1969433</v>
      </c>
      <c r="J6" s="476">
        <v>1969433</v>
      </c>
      <c r="K6" s="476">
        <v>1969433</v>
      </c>
      <c r="L6" s="476">
        <v>1969433</v>
      </c>
      <c r="M6" s="476">
        <v>1969433</v>
      </c>
      <c r="N6" s="476">
        <v>1969433</v>
      </c>
      <c r="O6" s="477">
        <f t="shared" si="0"/>
        <v>25243825</v>
      </c>
      <c r="P6" s="1029"/>
      <c r="Q6" s="1029"/>
    </row>
    <row r="7" spans="1:17" s="478" customFormat="1" ht="22.5">
      <c r="A7" s="474" t="s">
        <v>381</v>
      </c>
      <c r="B7" s="479" t="s">
        <v>568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>
        <v>6181639</v>
      </c>
      <c r="O7" s="481">
        <f t="shared" si="0"/>
        <v>6181639</v>
      </c>
      <c r="P7" s="1029"/>
      <c r="Q7" s="1029"/>
    </row>
    <row r="8" spans="1:17" s="478" customFormat="1" ht="14.1" customHeight="1">
      <c r="A8" s="474" t="s">
        <v>233</v>
      </c>
      <c r="B8" s="482" t="s">
        <v>5</v>
      </c>
      <c r="C8" s="476">
        <v>753200</v>
      </c>
      <c r="D8" s="476">
        <v>753200</v>
      </c>
      <c r="E8" s="476">
        <v>5649000</v>
      </c>
      <c r="F8" s="476">
        <v>753200</v>
      </c>
      <c r="G8" s="476">
        <v>753200</v>
      </c>
      <c r="H8" s="476">
        <v>753200</v>
      </c>
      <c r="I8" s="476">
        <v>753200</v>
      </c>
      <c r="J8" s="476">
        <v>753200</v>
      </c>
      <c r="K8" s="476">
        <v>5649000</v>
      </c>
      <c r="L8" s="476">
        <v>753200</v>
      </c>
      <c r="M8" s="476">
        <v>753200</v>
      </c>
      <c r="N8" s="476">
        <v>753200</v>
      </c>
      <c r="O8" s="477">
        <f t="shared" si="0"/>
        <v>18830000</v>
      </c>
      <c r="P8" s="1029"/>
      <c r="Q8" s="1029"/>
    </row>
    <row r="9" spans="1:17" s="478" customFormat="1" ht="14.1" customHeight="1">
      <c r="A9" s="474" t="s">
        <v>255</v>
      </c>
      <c r="B9" s="482" t="s">
        <v>4</v>
      </c>
      <c r="C9" s="476">
        <v>1594457</v>
      </c>
      <c r="D9" s="476">
        <v>1594457</v>
      </c>
      <c r="E9" s="476">
        <v>1594457</v>
      </c>
      <c r="F9" s="476">
        <v>1594457</v>
      </c>
      <c r="G9" s="476">
        <v>1594457</v>
      </c>
      <c r="H9" s="476">
        <v>1594457</v>
      </c>
      <c r="I9" s="476">
        <v>1594457</v>
      </c>
      <c r="J9" s="476">
        <v>1594457</v>
      </c>
      <c r="K9" s="476">
        <v>1594457</v>
      </c>
      <c r="L9" s="476">
        <v>1594457</v>
      </c>
      <c r="M9" s="476">
        <v>1594457</v>
      </c>
      <c r="N9" s="476">
        <v>1594460</v>
      </c>
      <c r="O9" s="477">
        <f t="shared" si="0"/>
        <v>19133487</v>
      </c>
      <c r="P9" s="1029"/>
      <c r="Q9" s="1029"/>
    </row>
    <row r="10" spans="1:17" s="478" customFormat="1" ht="14.1" customHeight="1">
      <c r="A10" s="474" t="s">
        <v>392</v>
      </c>
      <c r="B10" s="482" t="s">
        <v>462</v>
      </c>
      <c r="C10" s="476">
        <v>3100000</v>
      </c>
      <c r="D10" s="476"/>
      <c r="E10" s="476"/>
      <c r="F10" s="476"/>
      <c r="G10" s="476">
        <v>3100000</v>
      </c>
      <c r="H10" s="476"/>
      <c r="I10" s="476"/>
      <c r="J10" s="476">
        <v>3100000</v>
      </c>
      <c r="K10" s="476"/>
      <c r="L10" s="476"/>
      <c r="M10" s="476"/>
      <c r="N10" s="476"/>
      <c r="O10" s="477">
        <f t="shared" si="0"/>
        <v>9300000</v>
      </c>
      <c r="P10" s="1029"/>
      <c r="Q10" s="1029"/>
    </row>
    <row r="11" spans="1:17" s="478" customFormat="1" ht="14.1" customHeight="1">
      <c r="A11" s="474" t="s">
        <v>277</v>
      </c>
      <c r="B11" s="482" t="s">
        <v>415</v>
      </c>
      <c r="C11" s="476"/>
      <c r="D11" s="476"/>
      <c r="E11" s="476"/>
      <c r="F11" s="476"/>
      <c r="G11" s="476"/>
      <c r="H11" s="476"/>
      <c r="I11" s="476"/>
      <c r="J11" s="476">
        <v>300000</v>
      </c>
      <c r="K11" s="476"/>
      <c r="L11" s="476"/>
      <c r="M11" s="476"/>
      <c r="N11" s="476"/>
      <c r="O11" s="477">
        <f t="shared" si="0"/>
        <v>300000</v>
      </c>
      <c r="P11" s="1029"/>
      <c r="Q11" s="1029"/>
    </row>
    <row r="12" spans="1:17" s="478" customFormat="1" ht="22.5">
      <c r="A12" s="474" t="s">
        <v>287</v>
      </c>
      <c r="B12" s="475" t="s">
        <v>509</v>
      </c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7">
        <f t="shared" si="0"/>
        <v>0</v>
      </c>
      <c r="P12" s="1029"/>
      <c r="Q12" s="1029"/>
    </row>
    <row r="13" spans="1:17" s="478" customFormat="1" ht="14.1" customHeight="1" thickBot="1">
      <c r="A13" s="474" t="s">
        <v>404</v>
      </c>
      <c r="B13" s="482" t="s">
        <v>10</v>
      </c>
      <c r="C13" s="476">
        <v>82895435</v>
      </c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7">
        <f t="shared" si="0"/>
        <v>82895435</v>
      </c>
      <c r="P13" s="1029"/>
      <c r="Q13" s="1029"/>
    </row>
    <row r="14" spans="1:17" s="469" customFormat="1" ht="15.95" customHeight="1" thickBot="1">
      <c r="A14" s="468" t="s">
        <v>418</v>
      </c>
      <c r="B14" s="483" t="s">
        <v>569</v>
      </c>
      <c r="C14" s="484">
        <f t="shared" ref="C14:N14" si="1">SUM(C5:C13)</f>
        <v>98336177</v>
      </c>
      <c r="D14" s="484">
        <f t="shared" si="1"/>
        <v>12340738</v>
      </c>
      <c r="E14" s="484">
        <f t="shared" si="1"/>
        <v>17236538</v>
      </c>
      <c r="F14" s="484">
        <f t="shared" si="1"/>
        <v>11803863</v>
      </c>
      <c r="G14" s="484">
        <f t="shared" si="1"/>
        <v>14903863</v>
      </c>
      <c r="H14" s="484">
        <f t="shared" si="1"/>
        <v>11803863</v>
      </c>
      <c r="I14" s="484">
        <f t="shared" si="1"/>
        <v>11803863</v>
      </c>
      <c r="J14" s="484">
        <f t="shared" si="1"/>
        <v>15203863</v>
      </c>
      <c r="K14" s="484">
        <f t="shared" si="1"/>
        <v>16699663</v>
      </c>
      <c r="L14" s="484">
        <f t="shared" si="1"/>
        <v>11803863</v>
      </c>
      <c r="M14" s="484">
        <f t="shared" si="1"/>
        <v>11803863</v>
      </c>
      <c r="N14" s="484">
        <f t="shared" si="1"/>
        <v>17985512</v>
      </c>
      <c r="O14" s="485">
        <f t="shared" si="0"/>
        <v>251725669</v>
      </c>
      <c r="P14" s="1028"/>
      <c r="Q14" s="1028"/>
    </row>
    <row r="15" spans="1:17" s="469" customFormat="1" ht="15" customHeight="1" thickBot="1">
      <c r="A15" s="468" t="s">
        <v>419</v>
      </c>
      <c r="B15" s="1864"/>
      <c r="C15" s="1865"/>
      <c r="D15" s="1865"/>
      <c r="E15" s="1865"/>
      <c r="F15" s="1865"/>
      <c r="G15" s="1865"/>
      <c r="H15" s="1865"/>
      <c r="I15" s="1865"/>
      <c r="J15" s="1865"/>
      <c r="K15" s="1865"/>
      <c r="L15" s="1865"/>
      <c r="M15" s="1865"/>
      <c r="N15" s="1865"/>
      <c r="O15" s="1866"/>
      <c r="P15" s="1028"/>
      <c r="Q15" s="1028"/>
    </row>
    <row r="16" spans="1:17" s="478" customFormat="1" ht="14.1" customHeight="1">
      <c r="A16" s="486" t="s">
        <v>420</v>
      </c>
      <c r="B16" s="487" t="s">
        <v>0</v>
      </c>
      <c r="C16" s="480">
        <v>4946685</v>
      </c>
      <c r="D16" s="480">
        <v>4946685</v>
      </c>
      <c r="E16" s="480">
        <v>4946685</v>
      </c>
      <c r="F16" s="480">
        <v>4946685</v>
      </c>
      <c r="G16" s="480">
        <v>4946685</v>
      </c>
      <c r="H16" s="480">
        <v>4946685</v>
      </c>
      <c r="I16" s="480">
        <v>4946685</v>
      </c>
      <c r="J16" s="480">
        <v>4946685</v>
      </c>
      <c r="K16" s="480">
        <v>4946685</v>
      </c>
      <c r="L16" s="480">
        <v>4946685</v>
      </c>
      <c r="M16" s="480">
        <v>4946685</v>
      </c>
      <c r="N16" s="480">
        <v>4946685</v>
      </c>
      <c r="O16" s="481">
        <f t="shared" ref="O16:O26" si="2">SUM(C16:N16)</f>
        <v>59360220</v>
      </c>
      <c r="P16" s="1029"/>
      <c r="Q16" s="1029"/>
    </row>
    <row r="17" spans="1:17" s="478" customFormat="1" ht="27" customHeight="1">
      <c r="A17" s="474" t="s">
        <v>423</v>
      </c>
      <c r="B17" s="475" t="s">
        <v>1</v>
      </c>
      <c r="C17" s="476">
        <v>867206</v>
      </c>
      <c r="D17" s="476">
        <v>867206</v>
      </c>
      <c r="E17" s="476">
        <v>867206</v>
      </c>
      <c r="F17" s="476">
        <v>867206</v>
      </c>
      <c r="G17" s="476">
        <v>867206</v>
      </c>
      <c r="H17" s="476">
        <v>867206</v>
      </c>
      <c r="I17" s="476">
        <v>867206</v>
      </c>
      <c r="J17" s="476">
        <v>867206</v>
      </c>
      <c r="K17" s="476">
        <v>867206</v>
      </c>
      <c r="L17" s="476">
        <v>867206</v>
      </c>
      <c r="M17" s="476">
        <v>867206</v>
      </c>
      <c r="N17" s="476">
        <v>867210</v>
      </c>
      <c r="O17" s="477">
        <f t="shared" si="2"/>
        <v>10406476</v>
      </c>
      <c r="P17" s="1029"/>
      <c r="Q17" s="1029"/>
    </row>
    <row r="18" spans="1:17" s="478" customFormat="1" ht="14.1" customHeight="1">
      <c r="A18" s="474" t="s">
        <v>426</v>
      </c>
      <c r="B18" s="482" t="s">
        <v>340</v>
      </c>
      <c r="C18" s="476">
        <v>5746835</v>
      </c>
      <c r="D18" s="476">
        <v>5746835</v>
      </c>
      <c r="E18" s="476">
        <v>5746840</v>
      </c>
      <c r="F18" s="476">
        <v>5746835</v>
      </c>
      <c r="G18" s="476">
        <v>5746835</v>
      </c>
      <c r="H18" s="476">
        <v>5746835</v>
      </c>
      <c r="I18" s="476">
        <v>5746835</v>
      </c>
      <c r="J18" s="476">
        <v>5746835</v>
      </c>
      <c r="K18" s="476">
        <v>5746835</v>
      </c>
      <c r="L18" s="476">
        <v>5746835</v>
      </c>
      <c r="M18" s="476">
        <v>5746840</v>
      </c>
      <c r="N18" s="476">
        <v>5746835</v>
      </c>
      <c r="O18" s="477">
        <f t="shared" si="2"/>
        <v>68962030</v>
      </c>
      <c r="P18" s="1029"/>
      <c r="Q18" s="1029"/>
    </row>
    <row r="19" spans="1:17" s="478" customFormat="1" ht="14.1" customHeight="1">
      <c r="A19" s="474" t="s">
        <v>429</v>
      </c>
      <c r="B19" s="482" t="s">
        <v>7</v>
      </c>
      <c r="C19" s="476">
        <v>200000</v>
      </c>
      <c r="D19" s="476">
        <v>200000</v>
      </c>
      <c r="E19" s="476">
        <v>400000</v>
      </c>
      <c r="F19" s="476">
        <v>200000</v>
      </c>
      <c r="G19" s="476">
        <v>200000</v>
      </c>
      <c r="H19" s="476">
        <v>200000</v>
      </c>
      <c r="I19" s="476">
        <v>200000</v>
      </c>
      <c r="J19" s="476">
        <v>400000</v>
      </c>
      <c r="K19" s="476">
        <v>200000</v>
      </c>
      <c r="L19" s="476">
        <v>200000</v>
      </c>
      <c r="M19" s="476">
        <v>200000</v>
      </c>
      <c r="N19" s="476">
        <v>250000</v>
      </c>
      <c r="O19" s="477">
        <f t="shared" si="2"/>
        <v>2850000</v>
      </c>
      <c r="P19" s="1029"/>
      <c r="Q19" s="1029"/>
    </row>
    <row r="20" spans="1:17" s="478" customFormat="1" ht="14.1" customHeight="1">
      <c r="A20" s="474" t="s">
        <v>432</v>
      </c>
      <c r="B20" s="482" t="s">
        <v>570</v>
      </c>
      <c r="C20" s="476"/>
      <c r="D20" s="476"/>
      <c r="E20" s="476"/>
      <c r="F20" s="476"/>
      <c r="G20" s="476">
        <v>2172300</v>
      </c>
      <c r="H20" s="476"/>
      <c r="I20" s="476">
        <v>450000</v>
      </c>
      <c r="J20" s="476"/>
      <c r="K20" s="476"/>
      <c r="L20" s="476">
        <v>2142000</v>
      </c>
      <c r="M20" s="476"/>
      <c r="N20" s="476"/>
      <c r="O20" s="477">
        <f t="shared" si="2"/>
        <v>4764300</v>
      </c>
      <c r="P20" s="1029"/>
      <c r="Q20" s="1029"/>
    </row>
    <row r="21" spans="1:17" s="478" customFormat="1" ht="14.1" customHeight="1">
      <c r="A21" s="474" t="s">
        <v>435</v>
      </c>
      <c r="B21" s="482" t="s">
        <v>3</v>
      </c>
      <c r="C21" s="476"/>
      <c r="D21" s="476">
        <v>397000</v>
      </c>
      <c r="E21" s="476">
        <v>2040500</v>
      </c>
      <c r="F21" s="476">
        <v>635000</v>
      </c>
      <c r="G21" s="476">
        <v>8400000</v>
      </c>
      <c r="H21" s="476">
        <v>500000</v>
      </c>
      <c r="I21" s="476"/>
      <c r="J21" s="476">
        <v>8327000</v>
      </c>
      <c r="K21" s="476">
        <v>500000</v>
      </c>
      <c r="L21" s="476"/>
      <c r="M21" s="476"/>
      <c r="N21" s="476">
        <v>8400000</v>
      </c>
      <c r="O21" s="477">
        <f t="shared" si="2"/>
        <v>29199500</v>
      </c>
      <c r="P21" s="1029"/>
      <c r="Q21" s="1029"/>
    </row>
    <row r="22" spans="1:17" s="478" customFormat="1">
      <c r="A22" s="474" t="s">
        <v>438</v>
      </c>
      <c r="B22" s="475" t="s">
        <v>8</v>
      </c>
      <c r="C22" s="476"/>
      <c r="D22" s="476"/>
      <c r="E22" s="476">
        <v>14490740</v>
      </c>
      <c r="F22" s="476"/>
      <c r="G22" s="476">
        <v>11605000</v>
      </c>
      <c r="H22" s="476"/>
      <c r="I22" s="476">
        <v>825500</v>
      </c>
      <c r="J22" s="476">
        <v>14490700</v>
      </c>
      <c r="K22" s="476">
        <v>12065000</v>
      </c>
      <c r="L22" s="476"/>
      <c r="M22" s="476">
        <v>10000000</v>
      </c>
      <c r="N22" s="476"/>
      <c r="O22" s="477">
        <f t="shared" si="2"/>
        <v>63476940</v>
      </c>
      <c r="P22" s="1029"/>
      <c r="Q22" s="1029"/>
    </row>
    <row r="23" spans="1:17" s="478" customFormat="1" ht="14.1" customHeight="1">
      <c r="A23" s="474" t="s">
        <v>441</v>
      </c>
      <c r="B23" s="482" t="s">
        <v>364</v>
      </c>
      <c r="C23" s="476"/>
      <c r="D23" s="476"/>
      <c r="E23" s="476"/>
      <c r="F23" s="476">
        <v>250000</v>
      </c>
      <c r="G23" s="476"/>
      <c r="H23" s="476">
        <v>250000</v>
      </c>
      <c r="I23" s="476"/>
      <c r="J23" s="476"/>
      <c r="K23" s="476"/>
      <c r="L23" s="476">
        <v>250000</v>
      </c>
      <c r="M23" s="476"/>
      <c r="N23" s="476"/>
      <c r="O23" s="477">
        <f t="shared" si="2"/>
        <v>750000</v>
      </c>
      <c r="P23" s="1029"/>
      <c r="Q23" s="1029"/>
    </row>
    <row r="24" spans="1:17" s="478" customFormat="1" ht="14.1" customHeight="1">
      <c r="A24" s="474" t="s">
        <v>444</v>
      </c>
      <c r="B24" s="482" t="s">
        <v>417</v>
      </c>
      <c r="C24" s="476"/>
      <c r="D24" s="476"/>
      <c r="E24" s="476"/>
      <c r="F24" s="476"/>
      <c r="G24" s="476"/>
      <c r="H24" s="476"/>
      <c r="I24" s="476">
        <v>4072552</v>
      </c>
      <c r="J24" s="476"/>
      <c r="K24" s="476"/>
      <c r="L24" s="476"/>
      <c r="M24" s="476"/>
      <c r="N24" s="476">
        <v>3690000</v>
      </c>
      <c r="O24" s="477">
        <f t="shared" si="2"/>
        <v>7762552</v>
      </c>
      <c r="P24" s="1029"/>
      <c r="Q24" s="1029"/>
    </row>
    <row r="25" spans="1:17" s="478" customFormat="1" ht="14.1" customHeight="1" thickBot="1">
      <c r="A25" s="474" t="s">
        <v>446</v>
      </c>
      <c r="B25" s="482" t="s">
        <v>9</v>
      </c>
      <c r="C25" s="476">
        <f>3593651+50000</f>
        <v>3643651</v>
      </c>
      <c r="D25" s="476">
        <v>50000</v>
      </c>
      <c r="E25" s="476">
        <v>50000</v>
      </c>
      <c r="F25" s="476">
        <v>50000</v>
      </c>
      <c r="G25" s="476">
        <v>50000</v>
      </c>
      <c r="H25" s="476">
        <v>50000</v>
      </c>
      <c r="I25" s="476">
        <v>50000</v>
      </c>
      <c r="J25" s="476">
        <v>50000</v>
      </c>
      <c r="K25" s="476">
        <v>50000</v>
      </c>
      <c r="L25" s="476">
        <v>50000</v>
      </c>
      <c r="M25" s="476">
        <v>50000</v>
      </c>
      <c r="N25" s="476">
        <v>50000</v>
      </c>
      <c r="O25" s="477">
        <f t="shared" si="2"/>
        <v>4193651</v>
      </c>
      <c r="P25" s="1029"/>
      <c r="Q25" s="1029"/>
    </row>
    <row r="26" spans="1:17" s="469" customFormat="1" ht="15.95" customHeight="1" thickBot="1">
      <c r="A26" s="474" t="s">
        <v>449</v>
      </c>
      <c r="B26" s="483" t="s">
        <v>571</v>
      </c>
      <c r="C26" s="484">
        <f t="shared" ref="C26:N26" si="3">SUM(C16:C25)</f>
        <v>15404377</v>
      </c>
      <c r="D26" s="484">
        <f t="shared" si="3"/>
        <v>12207726</v>
      </c>
      <c r="E26" s="484">
        <f t="shared" si="3"/>
        <v>28541971</v>
      </c>
      <c r="F26" s="484">
        <f t="shared" si="3"/>
        <v>12695726</v>
      </c>
      <c r="G26" s="484">
        <f t="shared" si="3"/>
        <v>33988026</v>
      </c>
      <c r="H26" s="484">
        <f t="shared" si="3"/>
        <v>12560726</v>
      </c>
      <c r="I26" s="484">
        <f t="shared" si="3"/>
        <v>17158778</v>
      </c>
      <c r="J26" s="484">
        <f t="shared" si="3"/>
        <v>34828426</v>
      </c>
      <c r="K26" s="484">
        <f t="shared" si="3"/>
        <v>24375726</v>
      </c>
      <c r="L26" s="484">
        <f t="shared" si="3"/>
        <v>14202726</v>
      </c>
      <c r="M26" s="484">
        <f t="shared" si="3"/>
        <v>21810731</v>
      </c>
      <c r="N26" s="484">
        <f t="shared" si="3"/>
        <v>23950730</v>
      </c>
      <c r="O26" s="485">
        <f t="shared" si="2"/>
        <v>251725669</v>
      </c>
      <c r="P26" s="1028"/>
      <c r="Q26" s="1028"/>
    </row>
    <row r="27" spans="1:17" ht="16.5" thickBot="1">
      <c r="A27" s="474" t="s">
        <v>452</v>
      </c>
      <c r="B27" s="488" t="s">
        <v>572</v>
      </c>
      <c r="C27" s="489">
        <f t="shared" ref="C27:N27" si="4">C14-C26</f>
        <v>82931800</v>
      </c>
      <c r="D27" s="489">
        <f t="shared" si="4"/>
        <v>133012</v>
      </c>
      <c r="E27" s="489">
        <f t="shared" si="4"/>
        <v>-11305433</v>
      </c>
      <c r="F27" s="489">
        <f t="shared" si="4"/>
        <v>-891863</v>
      </c>
      <c r="G27" s="489">
        <f t="shared" si="4"/>
        <v>-19084163</v>
      </c>
      <c r="H27" s="489">
        <f t="shared" si="4"/>
        <v>-756863</v>
      </c>
      <c r="I27" s="489">
        <f t="shared" si="4"/>
        <v>-5354915</v>
      </c>
      <c r="J27" s="489">
        <f t="shared" si="4"/>
        <v>-19624563</v>
      </c>
      <c r="K27" s="489">
        <f t="shared" si="4"/>
        <v>-7676063</v>
      </c>
      <c r="L27" s="489">
        <f t="shared" si="4"/>
        <v>-2398863</v>
      </c>
      <c r="M27" s="489">
        <f t="shared" si="4"/>
        <v>-10006868</v>
      </c>
      <c r="N27" s="489">
        <f t="shared" si="4"/>
        <v>-5965218</v>
      </c>
      <c r="O27" s="490"/>
    </row>
    <row r="28" spans="1:17">
      <c r="A28" s="491"/>
    </row>
    <row r="29" spans="1:17">
      <c r="B29" s="492"/>
      <c r="C29" s="493"/>
      <c r="D29" s="493"/>
      <c r="O29" s="462"/>
    </row>
    <row r="30" spans="1:17">
      <c r="O30" s="462"/>
    </row>
    <row r="31" spans="1:17">
      <c r="O31" s="462"/>
    </row>
    <row r="32" spans="1:17">
      <c r="O32" s="462"/>
    </row>
    <row r="33" spans="15:15">
      <c r="O33" s="462"/>
    </row>
    <row r="34" spans="15:15">
      <c r="O34" s="462"/>
    </row>
    <row r="35" spans="15:15">
      <c r="O35" s="462"/>
    </row>
    <row r="36" spans="15:15">
      <c r="O36" s="462"/>
    </row>
    <row r="37" spans="15:15">
      <c r="O37" s="462"/>
    </row>
    <row r="38" spans="15:15">
      <c r="O38" s="462"/>
    </row>
    <row r="39" spans="15:15">
      <c r="O39" s="462"/>
    </row>
    <row r="40" spans="15:15">
      <c r="O40" s="462"/>
    </row>
    <row r="41" spans="15:15">
      <c r="O41" s="462"/>
    </row>
    <row r="42" spans="15:15">
      <c r="O42" s="462"/>
    </row>
    <row r="43" spans="15:15">
      <c r="O43" s="462"/>
    </row>
    <row r="44" spans="15:15">
      <c r="O44" s="462"/>
    </row>
    <row r="45" spans="15:15">
      <c r="O45" s="462"/>
    </row>
    <row r="46" spans="15:15">
      <c r="O46" s="462"/>
    </row>
    <row r="47" spans="15:15">
      <c r="O47" s="462"/>
    </row>
    <row r="48" spans="15:15">
      <c r="O48" s="462"/>
    </row>
    <row r="49" spans="15:15">
      <c r="O49" s="462"/>
    </row>
    <row r="50" spans="15:15">
      <c r="O50" s="462"/>
    </row>
    <row r="51" spans="15:15">
      <c r="O51" s="462"/>
    </row>
    <row r="52" spans="15:15">
      <c r="O52" s="462"/>
    </row>
    <row r="53" spans="15:15">
      <c r="O53" s="462"/>
    </row>
    <row r="54" spans="15:15">
      <c r="O54" s="462"/>
    </row>
    <row r="55" spans="15:15">
      <c r="O55" s="462"/>
    </row>
    <row r="56" spans="15:15">
      <c r="O56" s="462"/>
    </row>
    <row r="57" spans="15:15">
      <c r="O57" s="462"/>
    </row>
    <row r="58" spans="15:15">
      <c r="O58" s="462"/>
    </row>
    <row r="59" spans="15:15">
      <c r="O59" s="462"/>
    </row>
    <row r="60" spans="15:15">
      <c r="O60" s="462"/>
    </row>
    <row r="61" spans="15:15">
      <c r="O61" s="462"/>
    </row>
    <row r="62" spans="15:15">
      <c r="O62" s="462"/>
    </row>
    <row r="63" spans="15:15">
      <c r="O63" s="462"/>
    </row>
    <row r="64" spans="15:15">
      <c r="O64" s="462"/>
    </row>
    <row r="65" spans="15:15">
      <c r="O65" s="462"/>
    </row>
    <row r="66" spans="15:15">
      <c r="O66" s="462"/>
    </row>
    <row r="67" spans="15:15">
      <c r="O67" s="462"/>
    </row>
    <row r="68" spans="15:15">
      <c r="O68" s="462"/>
    </row>
    <row r="69" spans="15:15">
      <c r="O69" s="462"/>
    </row>
    <row r="70" spans="15:15">
      <c r="O70" s="462"/>
    </row>
    <row r="71" spans="15:15">
      <c r="O71" s="462"/>
    </row>
    <row r="72" spans="15:15">
      <c r="O72" s="462"/>
    </row>
    <row r="73" spans="15:15">
      <c r="O73" s="462"/>
    </row>
    <row r="74" spans="15:15">
      <c r="O74" s="462"/>
    </row>
    <row r="75" spans="15:15">
      <c r="O75" s="462"/>
    </row>
    <row r="76" spans="15:15">
      <c r="O76" s="462"/>
    </row>
    <row r="77" spans="15:15">
      <c r="O77" s="462"/>
    </row>
    <row r="78" spans="15:15">
      <c r="O78" s="462"/>
    </row>
    <row r="79" spans="15:15">
      <c r="O79" s="462"/>
    </row>
    <row r="80" spans="15:15">
      <c r="O80" s="462"/>
    </row>
    <row r="81" spans="15:15">
      <c r="O81" s="462"/>
    </row>
    <row r="82" spans="15:15">
      <c r="O82" s="462"/>
    </row>
  </sheetData>
  <sheetProtection selectLockedCells="1" selectUnlockedCells="1"/>
  <mergeCells count="3">
    <mergeCell ref="A1:O1"/>
    <mergeCell ref="B4:O4"/>
    <mergeCell ref="B15:O15"/>
  </mergeCells>
  <printOptions horizontalCentered="1"/>
  <pageMargins left="0.78740157480314965" right="0.78740157480314965" top="1.0687500000000001" bottom="0.98425196850393704" header="0.78740157480314965" footer="0.78740157480314965"/>
  <pageSetup paperSize="9" scale="75" orientation="landscape" r:id="rId1"/>
  <headerFooter alignWithMargins="0">
    <oddHeader>&amp;R&amp;"Times New Roman CE,Félkövér dőlt"10. melléklet az .../2020. (I.....) önkormányzati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X221"/>
  <sheetViews>
    <sheetView view="pageBreakPreview" topLeftCell="A100" zoomScaleNormal="100" zoomScaleSheetLayoutView="100" workbookViewId="0">
      <selection activeCell="B3" sqref="B1:V1048576"/>
    </sheetView>
  </sheetViews>
  <sheetFormatPr defaultRowHeight="15"/>
  <cols>
    <col min="1" max="1" width="39.42578125" style="653" customWidth="1"/>
    <col min="2" max="5" width="12.42578125" style="653" hidden="1" customWidth="1"/>
    <col min="6" max="6" width="17.28515625" style="653" hidden="1" customWidth="1"/>
    <col min="7" max="7" width="12.42578125" style="653" hidden="1" customWidth="1"/>
    <col min="8" max="8" width="15.5703125" style="653" hidden="1" customWidth="1"/>
    <col min="9" max="9" width="12.42578125" style="653" hidden="1" customWidth="1"/>
    <col min="10" max="10" width="22" style="653" hidden="1" customWidth="1"/>
    <col min="11" max="11" width="12.42578125" style="653" hidden="1" customWidth="1"/>
    <col min="12" max="12" width="17.140625" style="653" hidden="1" customWidth="1"/>
    <col min="13" max="14" width="19" style="653" hidden="1" customWidth="1"/>
    <col min="15" max="16" width="12.42578125" style="653" hidden="1" customWidth="1"/>
    <col min="17" max="17" width="13.42578125" style="653" hidden="1" customWidth="1"/>
    <col min="18" max="18" width="12.42578125" style="653" hidden="1" customWidth="1"/>
    <col min="19" max="20" width="16" style="653" hidden="1" customWidth="1"/>
    <col min="21" max="21" width="22.28515625" style="653" hidden="1" customWidth="1"/>
    <col min="22" max="22" width="18.7109375" style="653" hidden="1" customWidth="1"/>
    <col min="23" max="23" width="15.140625" style="1341" customWidth="1"/>
    <col min="24" max="24" width="9.140625" style="653"/>
  </cols>
  <sheetData>
    <row r="1" spans="1:23" ht="19.5" thickBot="1">
      <c r="A1" s="1711" t="s">
        <v>674</v>
      </c>
      <c r="B1" s="1712"/>
      <c r="C1" s="1712"/>
      <c r="D1" s="1712"/>
      <c r="E1" s="1712"/>
      <c r="F1" s="1712"/>
      <c r="G1" s="1712"/>
      <c r="H1" s="1712"/>
      <c r="I1" s="1712"/>
      <c r="J1" s="1712"/>
      <c r="K1" s="1712"/>
      <c r="L1" s="1712"/>
      <c r="M1" s="1712"/>
      <c r="N1" s="1712"/>
      <c r="O1" s="1712"/>
      <c r="P1" s="1712"/>
      <c r="Q1" s="1712"/>
      <c r="R1" s="1712"/>
      <c r="S1" s="1712"/>
      <c r="T1" s="1712"/>
      <c r="U1" s="1712"/>
      <c r="V1" s="1712"/>
      <c r="W1" s="1713"/>
    </row>
    <row r="2" spans="1:23">
      <c r="A2" s="1714" t="s">
        <v>673</v>
      </c>
      <c r="B2" s="1754" t="s">
        <v>661</v>
      </c>
      <c r="C2" s="1755"/>
      <c r="D2" s="1755"/>
      <c r="E2" s="1755"/>
      <c r="F2" s="1755"/>
      <c r="G2" s="1755"/>
      <c r="H2" s="1755"/>
      <c r="I2" s="1755"/>
      <c r="J2" s="1756"/>
      <c r="K2" s="1757" t="s">
        <v>662</v>
      </c>
      <c r="L2" s="1717"/>
      <c r="M2" s="1758" t="s">
        <v>663</v>
      </c>
      <c r="N2" s="1760" t="s">
        <v>664</v>
      </c>
      <c r="O2" s="1762" t="s">
        <v>676</v>
      </c>
      <c r="P2" s="1762"/>
      <c r="Q2" s="1762"/>
      <c r="R2" s="1762"/>
      <c r="S2" s="1762"/>
      <c r="T2" s="1763"/>
      <c r="U2" s="1764"/>
      <c r="V2" s="1764"/>
      <c r="W2" s="1718" t="s">
        <v>12</v>
      </c>
    </row>
    <row r="3" spans="1:23" ht="45.75" thickBot="1">
      <c r="A3" s="1715"/>
      <c r="B3" s="1030" t="s">
        <v>677</v>
      </c>
      <c r="C3" s="613" t="s">
        <v>678</v>
      </c>
      <c r="D3" s="613" t="s">
        <v>679</v>
      </c>
      <c r="E3" s="613" t="s">
        <v>685</v>
      </c>
      <c r="F3" s="823" t="s">
        <v>680</v>
      </c>
      <c r="G3" s="823" t="s">
        <v>681</v>
      </c>
      <c r="H3" s="823"/>
      <c r="I3" s="1260" t="s">
        <v>665</v>
      </c>
      <c r="J3" s="1031" t="s">
        <v>12</v>
      </c>
      <c r="K3" s="1032"/>
      <c r="L3" s="625" t="s">
        <v>12</v>
      </c>
      <c r="M3" s="1759"/>
      <c r="N3" s="1761"/>
      <c r="O3" s="1199" t="s">
        <v>682</v>
      </c>
      <c r="P3" s="1200" t="s">
        <v>683</v>
      </c>
      <c r="Q3" s="1200" t="s">
        <v>684</v>
      </c>
      <c r="R3" s="1200" t="s">
        <v>686</v>
      </c>
      <c r="S3" s="1200"/>
      <c r="T3" s="1200" t="s">
        <v>12</v>
      </c>
      <c r="U3" s="1723"/>
      <c r="V3" s="1723"/>
      <c r="W3" s="1719"/>
    </row>
    <row r="4" spans="1:23" ht="30">
      <c r="A4" s="6" t="s">
        <v>159</v>
      </c>
      <c r="B4" s="1033">
        <f>255780+(255780*11)</f>
        <v>3069360</v>
      </c>
      <c r="C4" s="543">
        <f>365400+(374535*11)</f>
        <v>4485285</v>
      </c>
      <c r="D4" s="543">
        <f>327667+(347130*11)</f>
        <v>4146097</v>
      </c>
      <c r="E4" s="543">
        <f>420210+(420210*11)</f>
        <v>5042520</v>
      </c>
      <c r="F4" s="824">
        <f>195000+(231660*11)</f>
        <v>2743260</v>
      </c>
      <c r="G4" s="824">
        <f>195000+(231660*11)</f>
        <v>2743260</v>
      </c>
      <c r="H4" s="824"/>
      <c r="I4" s="1261"/>
      <c r="J4" s="1034">
        <f t="shared" ref="J4:J12" si="0">SUM(B4:I4)</f>
        <v>22229782</v>
      </c>
      <c r="K4" s="1035"/>
      <c r="L4" s="1305">
        <f>SUM(K4:K4)</f>
        <v>0</v>
      </c>
      <c r="M4" s="1036"/>
      <c r="N4" s="1162"/>
      <c r="O4" s="1201">
        <f>195000+(210600*11)</f>
        <v>2511600</v>
      </c>
      <c r="P4" s="1202">
        <f>195000+(210600*11)</f>
        <v>2511600</v>
      </c>
      <c r="Q4" s="1202"/>
      <c r="R4" s="1202">
        <f>210600*9</f>
        <v>1895400</v>
      </c>
      <c r="S4" s="1202"/>
      <c r="T4" s="1308">
        <f t="shared" ref="T4:T12" si="1">SUM(O4:S4)</f>
        <v>6918600</v>
      </c>
      <c r="U4" s="741"/>
      <c r="V4" s="749"/>
      <c r="W4" s="25">
        <f t="shared" ref="W4:W69" si="2">J4+L4+N4+U4+V4+T4+M4</f>
        <v>29148382</v>
      </c>
    </row>
    <row r="5" spans="1:23">
      <c r="A5" s="1" t="s">
        <v>13</v>
      </c>
      <c r="B5" s="1033"/>
      <c r="C5" s="543"/>
      <c r="D5" s="543"/>
      <c r="E5" s="543"/>
      <c r="F5" s="824"/>
      <c r="G5" s="824"/>
      <c r="H5" s="824"/>
      <c r="I5" s="1261">
        <f>347130+(210600*5)</f>
        <v>1400130</v>
      </c>
      <c r="J5" s="1037">
        <f t="shared" si="0"/>
        <v>1400130</v>
      </c>
      <c r="K5" s="1038"/>
      <c r="L5" s="648">
        <f>SUM(K5:K5)</f>
        <v>0</v>
      </c>
      <c r="M5" s="1039"/>
      <c r="N5" s="1163"/>
      <c r="O5" s="1203"/>
      <c r="P5" s="1204"/>
      <c r="Q5" s="1204"/>
      <c r="R5" s="1204"/>
      <c r="S5" s="1204">
        <f>210600*3</f>
        <v>631800</v>
      </c>
      <c r="T5" s="1259">
        <f t="shared" si="1"/>
        <v>631800</v>
      </c>
      <c r="U5" s="742"/>
      <c r="V5" s="749"/>
      <c r="W5" s="1019">
        <f t="shared" si="2"/>
        <v>2031930</v>
      </c>
    </row>
    <row r="6" spans="1:23" ht="30">
      <c r="A6" s="2" t="s">
        <v>14</v>
      </c>
      <c r="B6" s="1040"/>
      <c r="C6" s="544"/>
      <c r="D6" s="544"/>
      <c r="E6" s="544"/>
      <c r="F6" s="825"/>
      <c r="G6" s="825"/>
      <c r="H6" s="825"/>
      <c r="I6" s="1262"/>
      <c r="J6" s="1037">
        <f t="shared" si="0"/>
        <v>0</v>
      </c>
      <c r="K6" s="1041"/>
      <c r="L6" s="648">
        <f>SUM(K6:K6)</f>
        <v>0</v>
      </c>
      <c r="M6" s="1039"/>
      <c r="N6" s="1163"/>
      <c r="O6" s="1205"/>
      <c r="P6" s="1206"/>
      <c r="Q6" s="1206"/>
      <c r="R6" s="1206"/>
      <c r="S6" s="1206"/>
      <c r="T6" s="1259">
        <f t="shared" si="1"/>
        <v>0</v>
      </c>
      <c r="U6" s="742"/>
      <c r="V6" s="742"/>
      <c r="W6" s="1019">
        <f t="shared" si="2"/>
        <v>0</v>
      </c>
    </row>
    <row r="7" spans="1:23">
      <c r="A7" s="2" t="s">
        <v>593</v>
      </c>
      <c r="B7" s="1040"/>
      <c r="C7" s="544"/>
      <c r="D7" s="544"/>
      <c r="E7" s="544"/>
      <c r="F7" s="825"/>
      <c r="G7" s="825"/>
      <c r="H7" s="825"/>
      <c r="I7" s="1262"/>
      <c r="J7" s="1037">
        <f t="shared" si="0"/>
        <v>0</v>
      </c>
      <c r="K7" s="1041"/>
      <c r="L7" s="648">
        <f>SUM(K7:K7)</f>
        <v>0</v>
      </c>
      <c r="M7" s="1039"/>
      <c r="N7" s="1163"/>
      <c r="O7" s="1205">
        <v>206930</v>
      </c>
      <c r="P7" s="1206"/>
      <c r="Q7" s="1206"/>
      <c r="R7" s="1206"/>
      <c r="S7" s="1206"/>
      <c r="T7" s="1259">
        <f t="shared" si="1"/>
        <v>206930</v>
      </c>
      <c r="U7" s="742"/>
      <c r="V7" s="742"/>
      <c r="W7" s="1019">
        <f t="shared" si="2"/>
        <v>206930</v>
      </c>
    </row>
    <row r="8" spans="1:23">
      <c r="A8" s="2" t="s">
        <v>160</v>
      </c>
      <c r="B8" s="1040"/>
      <c r="C8" s="544"/>
      <c r="D8" s="544"/>
      <c r="E8" s="544"/>
      <c r="F8" s="825"/>
      <c r="G8" s="825"/>
      <c r="H8" s="825"/>
      <c r="I8" s="1262"/>
      <c r="J8" s="1037">
        <f t="shared" si="0"/>
        <v>0</v>
      </c>
      <c r="K8" s="1041"/>
      <c r="L8" s="648">
        <f>SUM(K8:K8)</f>
        <v>0</v>
      </c>
      <c r="M8" s="1039"/>
      <c r="N8" s="1163"/>
      <c r="O8" s="1205"/>
      <c r="P8" s="1206"/>
      <c r="Q8" s="1206"/>
      <c r="R8" s="1206"/>
      <c r="S8" s="1206"/>
      <c r="T8" s="1259">
        <f t="shared" si="1"/>
        <v>0</v>
      </c>
      <c r="U8" s="742"/>
      <c r="V8" s="742"/>
      <c r="W8" s="1019">
        <f t="shared" si="2"/>
        <v>0</v>
      </c>
    </row>
    <row r="9" spans="1:23">
      <c r="A9" s="2" t="s">
        <v>15</v>
      </c>
      <c r="B9" s="1040"/>
      <c r="C9" s="544"/>
      <c r="D9" s="544"/>
      <c r="E9" s="544"/>
      <c r="F9" s="825"/>
      <c r="G9" s="825"/>
      <c r="H9" s="825"/>
      <c r="I9" s="1262"/>
      <c r="J9" s="1037">
        <f t="shared" si="0"/>
        <v>0</v>
      </c>
      <c r="K9" s="1041"/>
      <c r="L9" s="648"/>
      <c r="M9" s="1039"/>
      <c r="N9" s="1163"/>
      <c r="O9" s="1205"/>
      <c r="P9" s="1206"/>
      <c r="Q9" s="1206"/>
      <c r="R9" s="1206"/>
      <c r="S9" s="1206"/>
      <c r="T9" s="1259">
        <f t="shared" si="1"/>
        <v>0</v>
      </c>
      <c r="U9" s="742"/>
      <c r="V9" s="742"/>
      <c r="W9" s="1019">
        <f t="shared" si="2"/>
        <v>0</v>
      </c>
    </row>
    <row r="10" spans="1:23">
      <c r="A10" s="2" t="s">
        <v>16</v>
      </c>
      <c r="B10" s="1040"/>
      <c r="C10" s="544"/>
      <c r="D10" s="544"/>
      <c r="E10" s="544">
        <f>14950*12</f>
        <v>179400</v>
      </c>
      <c r="F10" s="825"/>
      <c r="G10" s="825"/>
      <c r="H10" s="825"/>
      <c r="I10" s="1262"/>
      <c r="J10" s="1037">
        <f t="shared" si="0"/>
        <v>179400</v>
      </c>
      <c r="K10" s="1041"/>
      <c r="L10" s="648">
        <f>SUM(K10:K10)</f>
        <v>0</v>
      </c>
      <c r="M10" s="1039"/>
      <c r="N10" s="1163"/>
      <c r="O10" s="1205"/>
      <c r="P10" s="1206"/>
      <c r="Q10" s="1206"/>
      <c r="R10" s="1206"/>
      <c r="S10" s="1206"/>
      <c r="T10" s="1259">
        <f t="shared" si="1"/>
        <v>0</v>
      </c>
      <c r="U10" s="742"/>
      <c r="V10" s="742"/>
      <c r="W10" s="1019">
        <f t="shared" si="2"/>
        <v>179400</v>
      </c>
    </row>
    <row r="11" spans="1:23" ht="30">
      <c r="A11" s="2" t="s">
        <v>690</v>
      </c>
      <c r="B11" s="1040"/>
      <c r="C11" s="544"/>
      <c r="D11" s="544"/>
      <c r="E11" s="544">
        <f>2000*12</f>
        <v>24000</v>
      </c>
      <c r="F11" s="825"/>
      <c r="G11" s="825"/>
      <c r="H11" s="825"/>
      <c r="I11" s="1262"/>
      <c r="J11" s="1037">
        <f t="shared" si="0"/>
        <v>24000</v>
      </c>
      <c r="K11" s="1041"/>
      <c r="L11" s="648"/>
      <c r="M11" s="1039"/>
      <c r="N11" s="1163"/>
      <c r="O11" s="1205"/>
      <c r="P11" s="1206"/>
      <c r="Q11" s="1206"/>
      <c r="R11" s="1206"/>
      <c r="S11" s="1206"/>
      <c r="T11" s="1259">
        <f t="shared" si="1"/>
        <v>0</v>
      </c>
      <c r="U11" s="742"/>
      <c r="V11" s="742"/>
      <c r="W11" s="1019">
        <f t="shared" si="2"/>
        <v>24000</v>
      </c>
    </row>
    <row r="12" spans="1:23" ht="30.75" thickBot="1">
      <c r="A12" s="4" t="s">
        <v>606</v>
      </c>
      <c r="B12" s="1042"/>
      <c r="C12" s="558"/>
      <c r="D12" s="558"/>
      <c r="E12" s="558"/>
      <c r="F12" s="826">
        <f>10900</f>
        <v>10900</v>
      </c>
      <c r="G12" s="826">
        <v>10900</v>
      </c>
      <c r="H12" s="826"/>
      <c r="I12" s="1263"/>
      <c r="J12" s="1043">
        <f t="shared" si="0"/>
        <v>21800</v>
      </c>
      <c r="K12" s="1044"/>
      <c r="L12" s="1520">
        <f t="shared" ref="L12:L39" si="3">SUM(K12:K12)</f>
        <v>0</v>
      </c>
      <c r="M12" s="1045"/>
      <c r="N12" s="1164"/>
      <c r="O12" s="1207">
        <v>10900</v>
      </c>
      <c r="P12" s="1208"/>
      <c r="Q12" s="1208"/>
      <c r="R12" s="1208"/>
      <c r="S12" s="1208"/>
      <c r="T12" s="1313">
        <f t="shared" si="1"/>
        <v>10900</v>
      </c>
      <c r="U12" s="743"/>
      <c r="V12" s="743"/>
      <c r="W12" s="1020">
        <f t="shared" si="2"/>
        <v>32700</v>
      </c>
    </row>
    <row r="13" spans="1:23" ht="15.75" thickBot="1">
      <c r="A13" s="560" t="s">
        <v>17</v>
      </c>
      <c r="B13" s="1046">
        <f t="shared" ref="B13:K13" si="4">SUM(B4:B12)</f>
        <v>3069360</v>
      </c>
      <c r="C13" s="561">
        <f t="shared" si="4"/>
        <v>4485285</v>
      </c>
      <c r="D13" s="561">
        <f t="shared" si="4"/>
        <v>4146097</v>
      </c>
      <c r="E13" s="561">
        <f t="shared" si="4"/>
        <v>5245920</v>
      </c>
      <c r="F13" s="827">
        <f t="shared" si="4"/>
        <v>2754160</v>
      </c>
      <c r="G13" s="827">
        <f t="shared" si="4"/>
        <v>2754160</v>
      </c>
      <c r="H13" s="827">
        <f t="shared" si="4"/>
        <v>0</v>
      </c>
      <c r="I13" s="1264">
        <f t="shared" si="4"/>
        <v>1400130</v>
      </c>
      <c r="J13" s="1047">
        <f t="shared" si="4"/>
        <v>23855112</v>
      </c>
      <c r="K13" s="1048">
        <f t="shared" si="4"/>
        <v>0</v>
      </c>
      <c r="L13" s="574">
        <f t="shared" si="3"/>
        <v>0</v>
      </c>
      <c r="M13" s="1049">
        <f t="shared" ref="M13:S13" si="5">SUM(M4:M12)</f>
        <v>0</v>
      </c>
      <c r="N13" s="1165">
        <f t="shared" si="5"/>
        <v>0</v>
      </c>
      <c r="O13" s="1209">
        <f t="shared" si="5"/>
        <v>2729430</v>
      </c>
      <c r="P13" s="1210">
        <f t="shared" si="5"/>
        <v>2511600</v>
      </c>
      <c r="Q13" s="1210">
        <f t="shared" si="5"/>
        <v>0</v>
      </c>
      <c r="R13" s="1210">
        <f t="shared" si="5"/>
        <v>1895400</v>
      </c>
      <c r="S13" s="1210">
        <f t="shared" si="5"/>
        <v>631800</v>
      </c>
      <c r="T13" s="1211">
        <f t="shared" ref="T13:T18" si="6">SUM(O13:S13)</f>
        <v>7768230</v>
      </c>
      <c r="U13" s="744">
        <f>SUM(U4:U12)</f>
        <v>0</v>
      </c>
      <c r="V13" s="744">
        <f>SUM(V4:V12)</f>
        <v>0</v>
      </c>
      <c r="W13" s="25">
        <f t="shared" si="2"/>
        <v>31623342</v>
      </c>
    </row>
    <row r="14" spans="1:23">
      <c r="A14" s="4" t="s">
        <v>18</v>
      </c>
      <c r="B14" s="1050"/>
      <c r="C14" s="545"/>
      <c r="D14" s="546"/>
      <c r="E14" s="546"/>
      <c r="F14" s="828"/>
      <c r="G14" s="828"/>
      <c r="H14" s="829"/>
      <c r="I14" s="1265"/>
      <c r="J14" s="1034">
        <f>SUM(B14:I14)</f>
        <v>0</v>
      </c>
      <c r="K14" s="1044"/>
      <c r="L14" s="1305">
        <f t="shared" si="3"/>
        <v>0</v>
      </c>
      <c r="M14" s="1036"/>
      <c r="N14" s="1162"/>
      <c r="O14" s="1207"/>
      <c r="P14" s="1208"/>
      <c r="Q14" s="1208"/>
      <c r="R14" s="1208"/>
      <c r="S14" s="1208"/>
      <c r="T14" s="1308">
        <f t="shared" si="6"/>
        <v>0</v>
      </c>
      <c r="U14" s="741"/>
      <c r="V14" s="1051"/>
      <c r="W14" s="25">
        <f t="shared" si="2"/>
        <v>0</v>
      </c>
    </row>
    <row r="15" spans="1:23" ht="45">
      <c r="A15" s="4" t="s">
        <v>161</v>
      </c>
      <c r="B15" s="1052"/>
      <c r="C15" s="545"/>
      <c r="D15" s="545"/>
      <c r="E15" s="545"/>
      <c r="F15" s="829"/>
      <c r="G15" s="829"/>
      <c r="H15" s="829"/>
      <c r="I15" s="1266"/>
      <c r="J15" s="1037">
        <f>SUM(B15:I15)</f>
        <v>0</v>
      </c>
      <c r="K15" s="1041"/>
      <c r="L15" s="648">
        <f t="shared" si="3"/>
        <v>0</v>
      </c>
      <c r="M15" s="1039"/>
      <c r="N15" s="1163"/>
      <c r="O15" s="1207"/>
      <c r="P15" s="1208"/>
      <c r="Q15" s="1208">
        <f>149000+(149000*2)</f>
        <v>447000</v>
      </c>
      <c r="R15" s="1208"/>
      <c r="S15" s="1208"/>
      <c r="T15" s="1259">
        <f t="shared" si="6"/>
        <v>447000</v>
      </c>
      <c r="U15" s="742"/>
      <c r="V15" s="743"/>
      <c r="W15" s="1019">
        <f t="shared" si="2"/>
        <v>447000</v>
      </c>
    </row>
    <row r="16" spans="1:23" ht="30.75" thickBot="1">
      <c r="A16" s="4" t="s">
        <v>594</v>
      </c>
      <c r="B16" s="1042"/>
      <c r="C16" s="558"/>
      <c r="D16" s="558"/>
      <c r="E16" s="558"/>
      <c r="F16" s="826"/>
      <c r="G16" s="826"/>
      <c r="H16" s="826"/>
      <c r="I16" s="1263">
        <v>40000</v>
      </c>
      <c r="J16" s="1043">
        <f>SUM(B16:I16)</f>
        <v>40000</v>
      </c>
      <c r="K16" s="1053"/>
      <c r="L16" s="1520">
        <f t="shared" si="3"/>
        <v>0</v>
      </c>
      <c r="M16" s="1045"/>
      <c r="N16" s="1164"/>
      <c r="O16" s="1212"/>
      <c r="P16" s="1213"/>
      <c r="Q16" s="1213"/>
      <c r="R16" s="1213"/>
      <c r="S16" s="1213">
        <v>10000</v>
      </c>
      <c r="T16" s="1313">
        <f t="shared" si="6"/>
        <v>10000</v>
      </c>
      <c r="U16" s="743"/>
      <c r="V16" s="743"/>
      <c r="W16" s="1020">
        <f t="shared" si="2"/>
        <v>50000</v>
      </c>
    </row>
    <row r="17" spans="1:23" ht="15.75" thickBot="1">
      <c r="A17" s="560" t="s">
        <v>19</v>
      </c>
      <c r="B17" s="1046">
        <f>SUM(B16:B16)</f>
        <v>0</v>
      </c>
      <c r="C17" s="561">
        <f>SUM(C16:C16)</f>
        <v>0</v>
      </c>
      <c r="D17" s="561">
        <f>SUM(D16:D16)</f>
        <v>0</v>
      </c>
      <c r="E17" s="561"/>
      <c r="F17" s="827">
        <f>SUM(F16:F16)</f>
        <v>0</v>
      </c>
      <c r="G17" s="827"/>
      <c r="H17" s="827">
        <f>SUM(H16:H16)</f>
        <v>0</v>
      </c>
      <c r="I17" s="1264">
        <f>SUM(I16:I16)</f>
        <v>40000</v>
      </c>
      <c r="J17" s="1047">
        <f>SUM(J14:J16)</f>
        <v>40000</v>
      </c>
      <c r="K17" s="1048">
        <f>SUM(K14:K16)</f>
        <v>0</v>
      </c>
      <c r="L17" s="574">
        <f t="shared" si="3"/>
        <v>0</v>
      </c>
      <c r="M17" s="1049">
        <f t="shared" ref="M17:S17" si="7">SUM(M14:M16)</f>
        <v>0</v>
      </c>
      <c r="N17" s="1165">
        <f t="shared" si="7"/>
        <v>0</v>
      </c>
      <c r="O17" s="1209">
        <f t="shared" si="7"/>
        <v>0</v>
      </c>
      <c r="P17" s="1210">
        <f t="shared" si="7"/>
        <v>0</v>
      </c>
      <c r="Q17" s="1210">
        <f t="shared" si="7"/>
        <v>447000</v>
      </c>
      <c r="R17" s="1210">
        <f t="shared" si="7"/>
        <v>0</v>
      </c>
      <c r="S17" s="1210">
        <f t="shared" si="7"/>
        <v>10000</v>
      </c>
      <c r="T17" s="1211">
        <f t="shared" si="6"/>
        <v>457000</v>
      </c>
      <c r="U17" s="744">
        <f>SUM(U14:U16)</f>
        <v>0</v>
      </c>
      <c r="V17" s="744">
        <f>SUM(V14:V16)</f>
        <v>0</v>
      </c>
      <c r="W17" s="25">
        <f t="shared" si="2"/>
        <v>497000</v>
      </c>
    </row>
    <row r="18" spans="1:23" ht="16.5" thickBot="1">
      <c r="A18" s="1521" t="s">
        <v>20</v>
      </c>
      <c r="B18" s="1054">
        <f t="shared" ref="B18:K18" si="8">B13+B17</f>
        <v>3069360</v>
      </c>
      <c r="C18" s="555">
        <f t="shared" si="8"/>
        <v>4485285</v>
      </c>
      <c r="D18" s="555">
        <f t="shared" si="8"/>
        <v>4146097</v>
      </c>
      <c r="E18" s="555">
        <f t="shared" si="8"/>
        <v>5245920</v>
      </c>
      <c r="F18" s="830">
        <f t="shared" si="8"/>
        <v>2754160</v>
      </c>
      <c r="G18" s="830">
        <f t="shared" si="8"/>
        <v>2754160</v>
      </c>
      <c r="H18" s="830">
        <f t="shared" si="8"/>
        <v>0</v>
      </c>
      <c r="I18" s="1267">
        <f t="shared" si="8"/>
        <v>1440130</v>
      </c>
      <c r="J18" s="1055">
        <f t="shared" si="8"/>
        <v>23895112</v>
      </c>
      <c r="K18" s="1056">
        <f t="shared" si="8"/>
        <v>0</v>
      </c>
      <c r="L18" s="629">
        <f t="shared" si="3"/>
        <v>0</v>
      </c>
      <c r="M18" s="1057">
        <f t="shared" ref="M18:S18" si="9">M13+M17</f>
        <v>0</v>
      </c>
      <c r="N18" s="1166">
        <f t="shared" si="9"/>
        <v>0</v>
      </c>
      <c r="O18" s="1214">
        <f t="shared" si="9"/>
        <v>2729430</v>
      </c>
      <c r="P18" s="1215">
        <f t="shared" si="9"/>
        <v>2511600</v>
      </c>
      <c r="Q18" s="1215">
        <f t="shared" si="9"/>
        <v>447000</v>
      </c>
      <c r="R18" s="1215">
        <f t="shared" si="9"/>
        <v>1895400</v>
      </c>
      <c r="S18" s="1215">
        <f t="shared" si="9"/>
        <v>641800</v>
      </c>
      <c r="T18" s="1216">
        <f t="shared" si="6"/>
        <v>8225230</v>
      </c>
      <c r="U18" s="1058">
        <f>U13+U17</f>
        <v>0</v>
      </c>
      <c r="V18" s="1058">
        <f>V13+V17</f>
        <v>0</v>
      </c>
      <c r="W18" s="1059">
        <f t="shared" si="2"/>
        <v>32120342</v>
      </c>
    </row>
    <row r="19" spans="1:23">
      <c r="A19" s="6" t="s">
        <v>162</v>
      </c>
      <c r="B19" s="1160">
        <f>B4*17.5%</f>
        <v>537138</v>
      </c>
      <c r="C19" s="547">
        <f>C4*17.5%</f>
        <v>784924.875</v>
      </c>
      <c r="D19" s="1161">
        <f>D4*17.5%</f>
        <v>725566.97499999998</v>
      </c>
      <c r="E19" s="547">
        <f>E4*17.5%</f>
        <v>882441</v>
      </c>
      <c r="F19" s="831">
        <f>(F4+F12)*17.5%</f>
        <v>481977.99999999994</v>
      </c>
      <c r="G19" s="831">
        <f>(G4+G12)*17.5%</f>
        <v>481977.99999999994</v>
      </c>
      <c r="H19" s="831"/>
      <c r="I19" s="1268">
        <f>(I5+I16)*17.5%</f>
        <v>252022.74999999997</v>
      </c>
      <c r="J19" s="1034">
        <f t="shared" ref="J19:J25" si="10">SUM(B19:I19)</f>
        <v>4146049.6</v>
      </c>
      <c r="K19" s="1035"/>
      <c r="L19" s="1305">
        <f t="shared" si="3"/>
        <v>0</v>
      </c>
      <c r="M19" s="1036"/>
      <c r="N19" s="1162"/>
      <c r="O19" s="1201">
        <f>(O4+O7+O12)*17.5%</f>
        <v>477650.24999999994</v>
      </c>
      <c r="P19" s="1202">
        <f>P4*17.5%</f>
        <v>439530</v>
      </c>
      <c r="Q19" s="1202">
        <f>Q15*17.5%</f>
        <v>78225</v>
      </c>
      <c r="R19" s="1202">
        <f>R4*17.5%</f>
        <v>331695</v>
      </c>
      <c r="S19" s="1202">
        <f>(S5+S16)*17.5%</f>
        <v>112315</v>
      </c>
      <c r="T19" s="1308">
        <f t="shared" ref="T19:T25" si="11">SUM(O19:S19)</f>
        <v>1439415.25</v>
      </c>
      <c r="U19" s="741"/>
      <c r="V19" s="741"/>
      <c r="W19" s="25">
        <f t="shared" si="2"/>
        <v>5585464.8499999996</v>
      </c>
    </row>
    <row r="20" spans="1:23">
      <c r="A20" s="1" t="s">
        <v>21</v>
      </c>
      <c r="B20" s="1033"/>
      <c r="C20" s="543"/>
      <c r="D20" s="543"/>
      <c r="E20" s="543"/>
      <c r="F20" s="824"/>
      <c r="G20" s="824"/>
      <c r="H20" s="824"/>
      <c r="I20" s="1261"/>
      <c r="J20" s="1037">
        <f t="shared" si="10"/>
        <v>0</v>
      </c>
      <c r="K20" s="1038"/>
      <c r="L20" s="648">
        <f t="shared" si="3"/>
        <v>0</v>
      </c>
      <c r="M20" s="1039"/>
      <c r="N20" s="1163"/>
      <c r="O20" s="1203"/>
      <c r="P20" s="1204"/>
      <c r="Q20" s="1204"/>
      <c r="R20" s="1204"/>
      <c r="S20" s="1204"/>
      <c r="T20" s="1259">
        <f t="shared" si="11"/>
        <v>0</v>
      </c>
      <c r="U20" s="742"/>
      <c r="V20" s="749"/>
      <c r="W20" s="1019">
        <f t="shared" si="2"/>
        <v>0</v>
      </c>
    </row>
    <row r="21" spans="1:23">
      <c r="A21" s="1" t="s">
        <v>22</v>
      </c>
      <c r="B21" s="1033"/>
      <c r="C21" s="543"/>
      <c r="D21" s="543"/>
      <c r="E21" s="543"/>
      <c r="F21" s="824"/>
      <c r="G21" s="824"/>
      <c r="H21" s="824"/>
      <c r="I21" s="1261"/>
      <c r="J21" s="1037">
        <f t="shared" si="10"/>
        <v>0</v>
      </c>
      <c r="K21" s="1038"/>
      <c r="L21" s="648">
        <f t="shared" si="3"/>
        <v>0</v>
      </c>
      <c r="M21" s="1039"/>
      <c r="N21" s="1163"/>
      <c r="O21" s="1203"/>
      <c r="P21" s="1204"/>
      <c r="Q21" s="1204"/>
      <c r="R21" s="1204"/>
      <c r="S21" s="1204"/>
      <c r="T21" s="1259">
        <f t="shared" si="11"/>
        <v>0</v>
      </c>
      <c r="U21" s="742"/>
      <c r="V21" s="749"/>
      <c r="W21" s="1019">
        <f t="shared" si="2"/>
        <v>0</v>
      </c>
    </row>
    <row r="22" spans="1:23">
      <c r="A22" s="2" t="s">
        <v>687</v>
      </c>
      <c r="B22" s="1033"/>
      <c r="C22" s="543"/>
      <c r="D22" s="543"/>
      <c r="E22" s="543"/>
      <c r="F22" s="825"/>
      <c r="G22" s="825"/>
      <c r="H22" s="824"/>
      <c r="I22" s="1262"/>
      <c r="J22" s="1037">
        <f t="shared" si="10"/>
        <v>0</v>
      </c>
      <c r="K22" s="1041"/>
      <c r="L22" s="648">
        <f t="shared" si="3"/>
        <v>0</v>
      </c>
      <c r="M22" s="1039"/>
      <c r="N22" s="1163"/>
      <c r="O22" s="1205"/>
      <c r="P22" s="1206"/>
      <c r="Q22" s="1206"/>
      <c r="R22" s="1206"/>
      <c r="S22" s="1206"/>
      <c r="T22" s="1259">
        <f t="shared" si="11"/>
        <v>0</v>
      </c>
      <c r="U22" s="742"/>
      <c r="V22" s="742"/>
      <c r="W22" s="1019">
        <f t="shared" si="2"/>
        <v>0</v>
      </c>
    </row>
    <row r="23" spans="1:23">
      <c r="A23" s="2" t="s">
        <v>23</v>
      </c>
      <c r="B23" s="1033"/>
      <c r="C23" s="543"/>
      <c r="D23" s="543"/>
      <c r="E23" s="543"/>
      <c r="F23" s="825"/>
      <c r="G23" s="825"/>
      <c r="H23" s="825"/>
      <c r="I23" s="1262">
        <v>60000</v>
      </c>
      <c r="J23" s="1037">
        <f t="shared" si="10"/>
        <v>60000</v>
      </c>
      <c r="K23" s="1041"/>
      <c r="L23" s="648">
        <f t="shared" si="3"/>
        <v>0</v>
      </c>
      <c r="M23" s="1039"/>
      <c r="N23" s="1163"/>
      <c r="O23" s="1205"/>
      <c r="P23" s="1206"/>
      <c r="Q23" s="1206"/>
      <c r="R23" s="1206"/>
      <c r="S23" s="1206">
        <v>40000</v>
      </c>
      <c r="T23" s="1259">
        <f t="shared" si="11"/>
        <v>40000</v>
      </c>
      <c r="U23" s="742"/>
      <c r="V23" s="742"/>
      <c r="W23" s="1019">
        <f t="shared" si="2"/>
        <v>100000</v>
      </c>
    </row>
    <row r="24" spans="1:23">
      <c r="A24" s="2" t="s">
        <v>24</v>
      </c>
      <c r="B24" s="1033"/>
      <c r="C24" s="543"/>
      <c r="D24" s="543"/>
      <c r="E24" s="543"/>
      <c r="F24" s="825"/>
      <c r="G24" s="825"/>
      <c r="H24" s="825"/>
      <c r="I24" s="1262"/>
      <c r="J24" s="1037">
        <f t="shared" si="10"/>
        <v>0</v>
      </c>
      <c r="K24" s="1041"/>
      <c r="L24" s="648">
        <f t="shared" si="3"/>
        <v>0</v>
      </c>
      <c r="M24" s="1039"/>
      <c r="N24" s="1163"/>
      <c r="O24" s="1205"/>
      <c r="P24" s="1206"/>
      <c r="Q24" s="1206"/>
      <c r="R24" s="1206"/>
      <c r="S24" s="1206"/>
      <c r="T24" s="1259">
        <f t="shared" si="11"/>
        <v>0</v>
      </c>
      <c r="U24" s="742"/>
      <c r="V24" s="742"/>
      <c r="W24" s="1019">
        <f t="shared" si="2"/>
        <v>0</v>
      </c>
    </row>
    <row r="25" spans="1:23" ht="45.75" thickBot="1">
      <c r="A25" s="4" t="s">
        <v>689</v>
      </c>
      <c r="B25" s="1033"/>
      <c r="C25" s="543"/>
      <c r="D25" s="543"/>
      <c r="E25" s="543"/>
      <c r="F25" s="832"/>
      <c r="G25" s="832"/>
      <c r="H25" s="832"/>
      <c r="I25" s="1269">
        <f>I16*15%</f>
        <v>6000</v>
      </c>
      <c r="J25" s="1043">
        <f t="shared" si="10"/>
        <v>6000</v>
      </c>
      <c r="K25" s="1044"/>
      <c r="L25" s="1310">
        <f t="shared" si="3"/>
        <v>0</v>
      </c>
      <c r="M25" s="1039"/>
      <c r="N25" s="1163"/>
      <c r="O25" s="1207"/>
      <c r="P25" s="1208"/>
      <c r="Q25" s="1208"/>
      <c r="R25" s="1208"/>
      <c r="S25" s="1208">
        <f>S16*15%</f>
        <v>1500</v>
      </c>
      <c r="T25" s="1313">
        <f t="shared" si="11"/>
        <v>1500</v>
      </c>
      <c r="U25" s="742"/>
      <c r="V25" s="743"/>
      <c r="W25" s="1020">
        <f t="shared" si="2"/>
        <v>7500</v>
      </c>
    </row>
    <row r="26" spans="1:23" ht="32.25" thickBot="1">
      <c r="A26" s="1522" t="s">
        <v>25</v>
      </c>
      <c r="B26" s="1054">
        <f t="shared" ref="B26:K26" si="12">SUM(B19:B25)</f>
        <v>537138</v>
      </c>
      <c r="C26" s="555">
        <f t="shared" si="12"/>
        <v>784924.875</v>
      </c>
      <c r="D26" s="555">
        <f t="shared" si="12"/>
        <v>725566.97499999998</v>
      </c>
      <c r="E26" s="555">
        <f t="shared" si="12"/>
        <v>882441</v>
      </c>
      <c r="F26" s="830">
        <f t="shared" si="12"/>
        <v>481977.99999999994</v>
      </c>
      <c r="G26" s="830">
        <f t="shared" si="12"/>
        <v>481977.99999999994</v>
      </c>
      <c r="H26" s="830">
        <f t="shared" si="12"/>
        <v>0</v>
      </c>
      <c r="I26" s="1267">
        <f t="shared" si="12"/>
        <v>318022.75</v>
      </c>
      <c r="J26" s="1055">
        <f t="shared" si="12"/>
        <v>4212049.5999999996</v>
      </c>
      <c r="K26" s="1056">
        <f t="shared" si="12"/>
        <v>0</v>
      </c>
      <c r="L26" s="629">
        <f t="shared" si="3"/>
        <v>0</v>
      </c>
      <c r="M26" s="1061">
        <f t="shared" ref="M26:S26" si="13">SUM(M19:M25)</f>
        <v>0</v>
      </c>
      <c r="N26" s="1167">
        <f t="shared" si="13"/>
        <v>0</v>
      </c>
      <c r="O26" s="1214">
        <f t="shared" si="13"/>
        <v>477650.24999999994</v>
      </c>
      <c r="P26" s="1215">
        <f t="shared" si="13"/>
        <v>439530</v>
      </c>
      <c r="Q26" s="1215">
        <f t="shared" si="13"/>
        <v>78225</v>
      </c>
      <c r="R26" s="1215">
        <f t="shared" si="13"/>
        <v>331695</v>
      </c>
      <c r="S26" s="1215">
        <f t="shared" si="13"/>
        <v>153815</v>
      </c>
      <c r="T26" s="1217">
        <f>SUM(O26:S26)</f>
        <v>1480915.25</v>
      </c>
      <c r="U26" s="745">
        <f>SUM(U19:U25)</f>
        <v>0</v>
      </c>
      <c r="V26" s="745">
        <f>SUM(V19:V25)</f>
        <v>0</v>
      </c>
      <c r="W26" s="1059">
        <f t="shared" si="2"/>
        <v>5692964.8499999996</v>
      </c>
    </row>
    <row r="27" spans="1:23">
      <c r="A27" s="8" t="s">
        <v>26</v>
      </c>
      <c r="B27" s="1060"/>
      <c r="C27" s="547"/>
      <c r="D27" s="547"/>
      <c r="E27" s="547"/>
      <c r="F27" s="831"/>
      <c r="G27" s="831"/>
      <c r="H27" s="831"/>
      <c r="I27" s="1268">
        <v>10000</v>
      </c>
      <c r="J27" s="1034">
        <f t="shared" ref="J27:J39" si="14">SUM(B27:I27)</f>
        <v>10000</v>
      </c>
      <c r="K27" s="1035"/>
      <c r="L27" s="1305">
        <f t="shared" si="3"/>
        <v>0</v>
      </c>
      <c r="M27" s="1036"/>
      <c r="N27" s="1162"/>
      <c r="O27" s="1201"/>
      <c r="P27" s="1202"/>
      <c r="Q27" s="1202"/>
      <c r="R27" s="1202"/>
      <c r="S27" s="1202"/>
      <c r="T27" s="1308">
        <f t="shared" ref="T27:T39" si="15">SUM(O27:S27)</f>
        <v>0</v>
      </c>
      <c r="U27" s="741"/>
      <c r="V27" s="741"/>
      <c r="W27" s="25">
        <f t="shared" si="2"/>
        <v>10000</v>
      </c>
    </row>
    <row r="28" spans="1:23">
      <c r="A28" s="2" t="s">
        <v>27</v>
      </c>
      <c r="B28" s="1040"/>
      <c r="C28" s="544"/>
      <c r="D28" s="544"/>
      <c r="E28" s="544"/>
      <c r="F28" s="825"/>
      <c r="G28" s="825"/>
      <c r="H28" s="825"/>
      <c r="I28" s="1262"/>
      <c r="J28" s="1037">
        <f t="shared" si="14"/>
        <v>0</v>
      </c>
      <c r="K28" s="1041"/>
      <c r="L28" s="648">
        <f t="shared" si="3"/>
        <v>0</v>
      </c>
      <c r="M28" s="1039"/>
      <c r="N28" s="1163"/>
      <c r="O28" s="1205"/>
      <c r="P28" s="1206"/>
      <c r="Q28" s="1206"/>
      <c r="R28" s="1206"/>
      <c r="S28" s="1206"/>
      <c r="T28" s="1259">
        <f t="shared" si="15"/>
        <v>0</v>
      </c>
      <c r="U28" s="742"/>
      <c r="V28" s="742"/>
      <c r="W28" s="1019">
        <f t="shared" si="2"/>
        <v>0</v>
      </c>
    </row>
    <row r="29" spans="1:23">
      <c r="A29" s="2" t="s">
        <v>638</v>
      </c>
      <c r="B29" s="1040"/>
      <c r="C29" s="544"/>
      <c r="D29" s="544"/>
      <c r="E29" s="544"/>
      <c r="F29" s="825"/>
      <c r="G29" s="825"/>
      <c r="H29" s="825"/>
      <c r="I29" s="1262">
        <v>50000</v>
      </c>
      <c r="J29" s="1037">
        <f t="shared" si="14"/>
        <v>50000</v>
      </c>
      <c r="K29" s="1041"/>
      <c r="L29" s="648">
        <f t="shared" si="3"/>
        <v>0</v>
      </c>
      <c r="M29" s="1039"/>
      <c r="N29" s="1163"/>
      <c r="O29" s="1205"/>
      <c r="P29" s="1206"/>
      <c r="Q29" s="1206"/>
      <c r="R29" s="1206"/>
      <c r="S29" s="1206"/>
      <c r="T29" s="1259">
        <f t="shared" si="15"/>
        <v>0</v>
      </c>
      <c r="U29" s="742"/>
      <c r="V29" s="742"/>
      <c r="W29" s="1019">
        <f t="shared" si="2"/>
        <v>50000</v>
      </c>
    </row>
    <row r="30" spans="1:23">
      <c r="A30" s="9" t="s">
        <v>666</v>
      </c>
      <c r="B30" s="1040"/>
      <c r="C30" s="544"/>
      <c r="D30" s="544"/>
      <c r="E30" s="544"/>
      <c r="F30" s="825"/>
      <c r="G30" s="825"/>
      <c r="H30" s="825"/>
      <c r="I30" s="1262"/>
      <c r="J30" s="1037">
        <f t="shared" si="14"/>
        <v>0</v>
      </c>
      <c r="K30" s="1041"/>
      <c r="L30" s="648">
        <f t="shared" si="3"/>
        <v>0</v>
      </c>
      <c r="M30" s="1039"/>
      <c r="N30" s="1163"/>
      <c r="O30" s="1205"/>
      <c r="P30" s="1206"/>
      <c r="Q30" s="1206"/>
      <c r="R30" s="1206"/>
      <c r="S30" s="1206"/>
      <c r="T30" s="1259">
        <f t="shared" si="15"/>
        <v>0</v>
      </c>
      <c r="U30" s="742"/>
      <c r="V30" s="742"/>
      <c r="W30" s="1019">
        <f t="shared" si="2"/>
        <v>0</v>
      </c>
    </row>
    <row r="31" spans="1:23" ht="30">
      <c r="A31" s="9" t="s">
        <v>688</v>
      </c>
      <c r="B31" s="1040"/>
      <c r="C31" s="544"/>
      <c r="D31" s="544"/>
      <c r="E31" s="544"/>
      <c r="F31" s="825"/>
      <c r="G31" s="825"/>
      <c r="H31" s="825"/>
      <c r="I31" s="1262">
        <f>145000+47244</f>
        <v>192244</v>
      </c>
      <c r="J31" s="1037">
        <f t="shared" si="14"/>
        <v>192244</v>
      </c>
      <c r="K31" s="1041"/>
      <c r="L31" s="648">
        <f t="shared" si="3"/>
        <v>0</v>
      </c>
      <c r="M31" s="1039"/>
      <c r="N31" s="1163"/>
      <c r="O31" s="1205"/>
      <c r="P31" s="1206"/>
      <c r="Q31" s="1206"/>
      <c r="R31" s="1206"/>
      <c r="S31" s="1206"/>
      <c r="T31" s="1259">
        <f t="shared" si="15"/>
        <v>0</v>
      </c>
      <c r="U31" s="742"/>
      <c r="V31" s="742"/>
      <c r="W31" s="1019">
        <f t="shared" si="2"/>
        <v>192244</v>
      </c>
    </row>
    <row r="32" spans="1:23">
      <c r="A32" s="10" t="s">
        <v>28</v>
      </c>
      <c r="B32" s="1062">
        <f>SUM(B27:B31)</f>
        <v>0</v>
      </c>
      <c r="C32" s="549">
        <f t="shared" ref="C32:I32" si="16">SUM(C27:C31)</f>
        <v>0</v>
      </c>
      <c r="D32" s="549">
        <f t="shared" si="16"/>
        <v>0</v>
      </c>
      <c r="E32" s="549">
        <f t="shared" si="16"/>
        <v>0</v>
      </c>
      <c r="F32" s="833">
        <f t="shared" si="16"/>
        <v>0</v>
      </c>
      <c r="G32" s="833">
        <f t="shared" si="16"/>
        <v>0</v>
      </c>
      <c r="H32" s="833">
        <f t="shared" si="16"/>
        <v>0</v>
      </c>
      <c r="I32" s="1270">
        <f t="shared" si="16"/>
        <v>252244</v>
      </c>
      <c r="J32" s="1064">
        <f t="shared" si="14"/>
        <v>252244</v>
      </c>
      <c r="K32" s="1065">
        <f>SUM(K27:K31)</f>
        <v>0</v>
      </c>
      <c r="L32" s="27">
        <f t="shared" si="3"/>
        <v>0</v>
      </c>
      <c r="M32" s="1066">
        <f t="shared" ref="M32:S32" si="17">SUM(M27:M31)</f>
        <v>0</v>
      </c>
      <c r="N32" s="1168">
        <f t="shared" si="17"/>
        <v>0</v>
      </c>
      <c r="O32" s="1218">
        <f t="shared" si="17"/>
        <v>0</v>
      </c>
      <c r="P32" s="1063">
        <f t="shared" si="17"/>
        <v>0</v>
      </c>
      <c r="Q32" s="1063">
        <f t="shared" si="17"/>
        <v>0</v>
      </c>
      <c r="R32" s="1063">
        <f t="shared" si="17"/>
        <v>0</v>
      </c>
      <c r="S32" s="1063">
        <f t="shared" si="17"/>
        <v>0</v>
      </c>
      <c r="T32" s="1219">
        <f t="shared" si="15"/>
        <v>0</v>
      </c>
      <c r="U32" s="1067">
        <f>SUM(U27:U31)</f>
        <v>0</v>
      </c>
      <c r="V32" s="1067">
        <f>SUM(V27:V31)</f>
        <v>0</v>
      </c>
      <c r="W32" s="1019">
        <f t="shared" si="2"/>
        <v>252244</v>
      </c>
    </row>
    <row r="33" spans="1:23">
      <c r="A33" s="2" t="s">
        <v>764</v>
      </c>
      <c r="B33" s="1040"/>
      <c r="C33" s="544"/>
      <c r="D33" s="544"/>
      <c r="E33" s="544"/>
      <c r="F33" s="825"/>
      <c r="G33" s="825"/>
      <c r="H33" s="825"/>
      <c r="I33" s="1262"/>
      <c r="J33" s="1037">
        <f t="shared" si="14"/>
        <v>0</v>
      </c>
      <c r="K33" s="1041"/>
      <c r="L33" s="648">
        <f t="shared" si="3"/>
        <v>0</v>
      </c>
      <c r="M33" s="1039"/>
      <c r="N33" s="1163"/>
      <c r="O33" s="1205"/>
      <c r="P33" s="1206"/>
      <c r="Q33" s="1206"/>
      <c r="R33" s="1206"/>
      <c r="S33" s="1206">
        <f>10200000*1.03</f>
        <v>10506000</v>
      </c>
      <c r="T33" s="1259">
        <f t="shared" si="15"/>
        <v>10506000</v>
      </c>
      <c r="U33" s="742"/>
      <c r="V33" s="742"/>
      <c r="W33" s="1019">
        <f t="shared" si="2"/>
        <v>10506000</v>
      </c>
    </row>
    <row r="34" spans="1:23">
      <c r="A34" s="2" t="s">
        <v>165</v>
      </c>
      <c r="B34" s="1040"/>
      <c r="C34" s="544"/>
      <c r="D34" s="544"/>
      <c r="E34" s="544"/>
      <c r="F34" s="825"/>
      <c r="G34" s="825"/>
      <c r="H34" s="825"/>
      <c r="I34" s="1262"/>
      <c r="J34" s="1037">
        <f t="shared" si="14"/>
        <v>0</v>
      </c>
      <c r="K34" s="1041"/>
      <c r="L34" s="648">
        <f t="shared" si="3"/>
        <v>0</v>
      </c>
      <c r="M34" s="1039">
        <f>60000+55118</f>
        <v>115118</v>
      </c>
      <c r="N34" s="1163"/>
      <c r="O34" s="1205"/>
      <c r="P34" s="1206"/>
      <c r="Q34" s="1206"/>
      <c r="R34" s="1206"/>
      <c r="S34" s="1206">
        <v>50000</v>
      </c>
      <c r="T34" s="1259">
        <f t="shared" si="15"/>
        <v>50000</v>
      </c>
      <c r="U34" s="742"/>
      <c r="V34" s="742"/>
      <c r="W34" s="1019">
        <f t="shared" si="2"/>
        <v>165118</v>
      </c>
    </row>
    <row r="35" spans="1:23">
      <c r="A35" s="2" t="s">
        <v>30</v>
      </c>
      <c r="B35" s="1040"/>
      <c r="C35" s="544"/>
      <c r="D35" s="544"/>
      <c r="E35" s="544"/>
      <c r="F35" s="825"/>
      <c r="G35" s="825"/>
      <c r="H35" s="825"/>
      <c r="I35" s="1262"/>
      <c r="J35" s="1037">
        <f t="shared" si="14"/>
        <v>0</v>
      </c>
      <c r="K35" s="1041"/>
      <c r="L35" s="648">
        <f t="shared" si="3"/>
        <v>0</v>
      </c>
      <c r="M35" s="1039">
        <v>15000</v>
      </c>
      <c r="N35" s="1163"/>
      <c r="O35" s="1205"/>
      <c r="P35" s="1206"/>
      <c r="Q35" s="1206"/>
      <c r="R35" s="1206"/>
      <c r="S35" s="1206">
        <v>10000</v>
      </c>
      <c r="T35" s="1259">
        <f t="shared" si="15"/>
        <v>10000</v>
      </c>
      <c r="U35" s="742"/>
      <c r="V35" s="742"/>
      <c r="W35" s="1019">
        <f t="shared" si="2"/>
        <v>25000</v>
      </c>
    </row>
    <row r="36" spans="1:23" ht="30">
      <c r="A36" s="2" t="s">
        <v>31</v>
      </c>
      <c r="B36" s="1040"/>
      <c r="C36" s="544"/>
      <c r="D36" s="544"/>
      <c r="E36" s="544"/>
      <c r="F36" s="825"/>
      <c r="G36" s="825"/>
      <c r="H36" s="825"/>
      <c r="I36" s="1262"/>
      <c r="J36" s="1037">
        <f t="shared" si="14"/>
        <v>0</v>
      </c>
      <c r="K36" s="1041"/>
      <c r="L36" s="648">
        <f t="shared" si="3"/>
        <v>0</v>
      </c>
      <c r="M36" s="1039"/>
      <c r="N36" s="1163"/>
      <c r="O36" s="1205"/>
      <c r="P36" s="1206"/>
      <c r="Q36" s="1206"/>
      <c r="R36" s="1206"/>
      <c r="S36" s="1206"/>
      <c r="T36" s="1259">
        <f t="shared" si="15"/>
        <v>0</v>
      </c>
      <c r="U36" s="742"/>
      <c r="V36" s="742"/>
      <c r="W36" s="1019">
        <f t="shared" si="2"/>
        <v>0</v>
      </c>
    </row>
    <row r="37" spans="1:23">
      <c r="A37" s="2" t="s">
        <v>166</v>
      </c>
      <c r="B37" s="1040"/>
      <c r="C37" s="544"/>
      <c r="D37" s="544"/>
      <c r="E37" s="544"/>
      <c r="F37" s="825"/>
      <c r="G37" s="825"/>
      <c r="H37" s="825"/>
      <c r="I37" s="1262"/>
      <c r="J37" s="1037">
        <f t="shared" si="14"/>
        <v>0</v>
      </c>
      <c r="K37" s="1041"/>
      <c r="L37" s="648">
        <f t="shared" si="3"/>
        <v>0</v>
      </c>
      <c r="M37" s="1039"/>
      <c r="N37" s="1163"/>
      <c r="O37" s="1205"/>
      <c r="P37" s="1206"/>
      <c r="Q37" s="1206"/>
      <c r="R37" s="1206"/>
      <c r="S37" s="1206"/>
      <c r="T37" s="1259">
        <f t="shared" si="15"/>
        <v>0</v>
      </c>
      <c r="U37" s="742"/>
      <c r="V37" s="742"/>
      <c r="W37" s="1019">
        <f t="shared" si="2"/>
        <v>0</v>
      </c>
    </row>
    <row r="38" spans="1:23" ht="45">
      <c r="A38" s="2" t="s">
        <v>765</v>
      </c>
      <c r="B38" s="1040"/>
      <c r="C38" s="544"/>
      <c r="D38" s="544"/>
      <c r="E38" s="544"/>
      <c r="F38" s="825"/>
      <c r="G38" s="825"/>
      <c r="H38" s="825"/>
      <c r="I38" s="1262"/>
      <c r="J38" s="1037">
        <f t="shared" si="14"/>
        <v>0</v>
      </c>
      <c r="K38" s="1041"/>
      <c r="L38" s="648">
        <f t="shared" si="3"/>
        <v>0</v>
      </c>
      <c r="M38" s="1039">
        <f>200000*1.04+47244+118110</f>
        <v>373354</v>
      </c>
      <c r="N38" s="1163"/>
      <c r="O38" s="1205"/>
      <c r="P38" s="1206"/>
      <c r="Q38" s="1206"/>
      <c r="R38" s="1206"/>
      <c r="S38" s="1206">
        <v>460000</v>
      </c>
      <c r="T38" s="1259">
        <f t="shared" si="15"/>
        <v>460000</v>
      </c>
      <c r="U38" s="742"/>
      <c r="V38" s="742"/>
      <c r="W38" s="1019">
        <f t="shared" si="2"/>
        <v>833354</v>
      </c>
    </row>
    <row r="39" spans="1:23" ht="15.75" thickBot="1">
      <c r="A39" s="525" t="s">
        <v>32</v>
      </c>
      <c r="B39" s="1068">
        <f t="shared" ref="B39:I39" si="18">SUM(B33:B38)</f>
        <v>0</v>
      </c>
      <c r="C39" s="550">
        <f t="shared" si="18"/>
        <v>0</v>
      </c>
      <c r="D39" s="550">
        <f t="shared" si="18"/>
        <v>0</v>
      </c>
      <c r="E39" s="550">
        <f t="shared" si="18"/>
        <v>0</v>
      </c>
      <c r="F39" s="834">
        <f t="shared" si="18"/>
        <v>0</v>
      </c>
      <c r="G39" s="834">
        <f t="shared" si="18"/>
        <v>0</v>
      </c>
      <c r="H39" s="834">
        <f t="shared" si="18"/>
        <v>0</v>
      </c>
      <c r="I39" s="1271">
        <f t="shared" si="18"/>
        <v>0</v>
      </c>
      <c r="J39" s="1069">
        <f t="shared" si="14"/>
        <v>0</v>
      </c>
      <c r="K39" s="1070">
        <f>SUM(K33:K38)</f>
        <v>0</v>
      </c>
      <c r="L39" s="1310">
        <f t="shared" si="3"/>
        <v>0</v>
      </c>
      <c r="M39" s="1071">
        <f t="shared" ref="M39:S39" si="19">SUM(M33:M38)</f>
        <v>503472</v>
      </c>
      <c r="N39" s="1169">
        <f t="shared" si="19"/>
        <v>0</v>
      </c>
      <c r="O39" s="1220">
        <f t="shared" si="19"/>
        <v>0</v>
      </c>
      <c r="P39" s="1220">
        <f t="shared" si="19"/>
        <v>0</v>
      </c>
      <c r="Q39" s="1220">
        <f t="shared" si="19"/>
        <v>0</v>
      </c>
      <c r="R39" s="1220">
        <f t="shared" si="19"/>
        <v>0</v>
      </c>
      <c r="S39" s="1220">
        <f t="shared" si="19"/>
        <v>11026000</v>
      </c>
      <c r="T39" s="1219">
        <f t="shared" si="15"/>
        <v>11026000</v>
      </c>
      <c r="U39" s="747">
        <f>SUM(U33:U38)</f>
        <v>0</v>
      </c>
      <c r="V39" s="747">
        <f>SUM(V33:V38)</f>
        <v>0</v>
      </c>
      <c r="W39" s="1020">
        <f t="shared" si="2"/>
        <v>11529472</v>
      </c>
    </row>
    <row r="40" spans="1:23" ht="15.75" thickBot="1">
      <c r="A40" s="528" t="s">
        <v>33</v>
      </c>
      <c r="B40" s="1072">
        <f t="shared" ref="B40:V40" si="20">B32+B39</f>
        <v>0</v>
      </c>
      <c r="C40" s="551">
        <f t="shared" si="20"/>
        <v>0</v>
      </c>
      <c r="D40" s="551">
        <f t="shared" si="20"/>
        <v>0</v>
      </c>
      <c r="E40" s="551">
        <f t="shared" si="20"/>
        <v>0</v>
      </c>
      <c r="F40" s="835">
        <f t="shared" si="20"/>
        <v>0</v>
      </c>
      <c r="G40" s="835">
        <f t="shared" si="20"/>
        <v>0</v>
      </c>
      <c r="H40" s="835">
        <f t="shared" si="20"/>
        <v>0</v>
      </c>
      <c r="I40" s="1272">
        <f t="shared" si="20"/>
        <v>252244</v>
      </c>
      <c r="J40" s="1074">
        <f t="shared" si="20"/>
        <v>252244</v>
      </c>
      <c r="K40" s="1075">
        <f t="shared" si="20"/>
        <v>0</v>
      </c>
      <c r="L40" s="574">
        <f t="shared" si="20"/>
        <v>0</v>
      </c>
      <c r="M40" s="1076">
        <f t="shared" si="20"/>
        <v>503472</v>
      </c>
      <c r="N40" s="1170">
        <f t="shared" si="20"/>
        <v>0</v>
      </c>
      <c r="O40" s="1221">
        <f t="shared" si="20"/>
        <v>0</v>
      </c>
      <c r="P40" s="1221">
        <f t="shared" si="20"/>
        <v>0</v>
      </c>
      <c r="Q40" s="1221">
        <f>Q32+Q39</f>
        <v>0</v>
      </c>
      <c r="R40" s="1221">
        <f>R32+R39</f>
        <v>0</v>
      </c>
      <c r="S40" s="1221">
        <f t="shared" si="20"/>
        <v>11026000</v>
      </c>
      <c r="T40" s="1211">
        <f t="shared" si="20"/>
        <v>11026000</v>
      </c>
      <c r="U40" s="748">
        <f t="shared" si="20"/>
        <v>0</v>
      </c>
      <c r="V40" s="748">
        <f t="shared" si="20"/>
        <v>0</v>
      </c>
      <c r="W40" s="25">
        <f t="shared" si="2"/>
        <v>11781716</v>
      </c>
    </row>
    <row r="41" spans="1:23" ht="30">
      <c r="A41" s="527" t="s">
        <v>34</v>
      </c>
      <c r="B41" s="1033"/>
      <c r="C41" s="543"/>
      <c r="D41" s="543"/>
      <c r="E41" s="543"/>
      <c r="F41" s="824"/>
      <c r="G41" s="824"/>
      <c r="H41" s="824"/>
      <c r="I41" s="1261"/>
      <c r="J41" s="1077">
        <f t="shared" ref="J41:J46" si="21">SUM(B41:I41)</f>
        <v>0</v>
      </c>
      <c r="K41" s="1038"/>
      <c r="L41" s="647">
        <f t="shared" ref="L41:L46" si="22">SUM(K41:K41)</f>
        <v>0</v>
      </c>
      <c r="M41" s="1078"/>
      <c r="N41" s="1171"/>
      <c r="O41" s="1203"/>
      <c r="P41" s="1204"/>
      <c r="Q41" s="1204"/>
      <c r="R41" s="1204"/>
      <c r="S41" s="1204"/>
      <c r="T41" s="1258">
        <f t="shared" ref="T41:T46" si="23">SUM(O41:S41)</f>
        <v>0</v>
      </c>
      <c r="U41" s="749"/>
      <c r="V41" s="749"/>
      <c r="W41" s="25">
        <f t="shared" si="2"/>
        <v>0</v>
      </c>
    </row>
    <row r="42" spans="1:23" ht="45">
      <c r="A42" s="2" t="s">
        <v>691</v>
      </c>
      <c r="B42" s="1040"/>
      <c r="C42" s="544"/>
      <c r="D42" s="544"/>
      <c r="E42" s="544"/>
      <c r="F42" s="825"/>
      <c r="G42" s="825"/>
      <c r="H42" s="825"/>
      <c r="I42" s="1262"/>
      <c r="J42" s="1077">
        <f t="shared" si="21"/>
        <v>0</v>
      </c>
      <c r="K42" s="1041"/>
      <c r="L42" s="647">
        <f t="shared" si="22"/>
        <v>0</v>
      </c>
      <c r="M42" s="1039">
        <f>4500*12*60%</f>
        <v>32400</v>
      </c>
      <c r="N42" s="1163"/>
      <c r="O42" s="1205"/>
      <c r="P42" s="1206"/>
      <c r="Q42" s="1206"/>
      <c r="R42" s="1206"/>
      <c r="S42" s="1206">
        <f>4500*12*40%</f>
        <v>21600</v>
      </c>
      <c r="T42" s="1258">
        <f t="shared" si="23"/>
        <v>21600</v>
      </c>
      <c r="U42" s="742"/>
      <c r="V42" s="742"/>
      <c r="W42" s="1019">
        <f t="shared" si="2"/>
        <v>54000</v>
      </c>
    </row>
    <row r="43" spans="1:23" ht="30">
      <c r="A43" s="2" t="s">
        <v>35</v>
      </c>
      <c r="B43" s="1040"/>
      <c r="C43" s="544"/>
      <c r="D43" s="544"/>
      <c r="E43" s="544"/>
      <c r="F43" s="825"/>
      <c r="G43" s="825"/>
      <c r="H43" s="825"/>
      <c r="I43" s="1262"/>
      <c r="J43" s="1077">
        <f t="shared" si="21"/>
        <v>0</v>
      </c>
      <c r="K43" s="1041"/>
      <c r="L43" s="647">
        <f t="shared" si="22"/>
        <v>0</v>
      </c>
      <c r="M43" s="1039"/>
      <c r="N43" s="1163"/>
      <c r="O43" s="1205"/>
      <c r="P43" s="1206"/>
      <c r="Q43" s="1206"/>
      <c r="R43" s="1206"/>
      <c r="S43" s="1206"/>
      <c r="T43" s="1258">
        <f t="shared" si="23"/>
        <v>0</v>
      </c>
      <c r="U43" s="742"/>
      <c r="V43" s="742"/>
      <c r="W43" s="1019">
        <f t="shared" si="2"/>
        <v>0</v>
      </c>
    </row>
    <row r="44" spans="1:23" ht="45">
      <c r="A44" s="2" t="s">
        <v>692</v>
      </c>
      <c r="B44" s="1040"/>
      <c r="C44" s="544"/>
      <c r="D44" s="544"/>
      <c r="E44" s="544"/>
      <c r="F44" s="825"/>
      <c r="G44" s="825"/>
      <c r="H44" s="825"/>
      <c r="I44" s="1262"/>
      <c r="J44" s="1077">
        <f t="shared" si="21"/>
        <v>0</v>
      </c>
      <c r="K44" s="1041"/>
      <c r="L44" s="647">
        <f t="shared" si="22"/>
        <v>0</v>
      </c>
      <c r="M44" s="1039">
        <f>6500*12*60%</f>
        <v>46800</v>
      </c>
      <c r="N44" s="1163"/>
      <c r="O44" s="1205"/>
      <c r="P44" s="1206"/>
      <c r="Q44" s="1206"/>
      <c r="R44" s="1206"/>
      <c r="S44" s="1206">
        <f>6500*12*40%</f>
        <v>31200</v>
      </c>
      <c r="T44" s="1258">
        <f t="shared" si="23"/>
        <v>31200</v>
      </c>
      <c r="U44" s="742"/>
      <c r="V44" s="742"/>
      <c r="W44" s="1019">
        <f t="shared" si="2"/>
        <v>78000</v>
      </c>
    </row>
    <row r="45" spans="1:23" ht="30">
      <c r="A45" s="10" t="s">
        <v>167</v>
      </c>
      <c r="B45" s="1062">
        <f t="shared" ref="B45:I45" si="24">SUM(B41:B44)</f>
        <v>0</v>
      </c>
      <c r="C45" s="549">
        <f t="shared" si="24"/>
        <v>0</v>
      </c>
      <c r="D45" s="549">
        <f t="shared" si="24"/>
        <v>0</v>
      </c>
      <c r="E45" s="549">
        <f t="shared" si="24"/>
        <v>0</v>
      </c>
      <c r="F45" s="833">
        <f t="shared" si="24"/>
        <v>0</v>
      </c>
      <c r="G45" s="833">
        <f t="shared" si="24"/>
        <v>0</v>
      </c>
      <c r="H45" s="833">
        <f t="shared" si="24"/>
        <v>0</v>
      </c>
      <c r="I45" s="1270">
        <f t="shared" si="24"/>
        <v>0</v>
      </c>
      <c r="J45" s="1079">
        <f t="shared" si="21"/>
        <v>0</v>
      </c>
      <c r="K45" s="1065">
        <f>SUM(K41:K44)</f>
        <v>0</v>
      </c>
      <c r="L45" s="648">
        <f t="shared" si="22"/>
        <v>0</v>
      </c>
      <c r="M45" s="1080">
        <f t="shared" ref="M45:S45" si="25">SUM(M41:M44)</f>
        <v>79200</v>
      </c>
      <c r="N45" s="1172">
        <f t="shared" si="25"/>
        <v>0</v>
      </c>
      <c r="O45" s="1218">
        <f t="shared" si="25"/>
        <v>0</v>
      </c>
      <c r="P45" s="1218">
        <f t="shared" si="25"/>
        <v>0</v>
      </c>
      <c r="Q45" s="1218">
        <f t="shared" si="25"/>
        <v>0</v>
      </c>
      <c r="R45" s="1218">
        <f t="shared" si="25"/>
        <v>0</v>
      </c>
      <c r="S45" s="1218">
        <f t="shared" si="25"/>
        <v>52800</v>
      </c>
      <c r="T45" s="1258">
        <f t="shared" si="23"/>
        <v>52800</v>
      </c>
      <c r="U45" s="746">
        <f>SUM(U41:U44)</f>
        <v>0</v>
      </c>
      <c r="V45" s="746">
        <f>SUM(V41:V44)</f>
        <v>0</v>
      </c>
      <c r="W45" s="1019">
        <f t="shared" si="2"/>
        <v>132000</v>
      </c>
    </row>
    <row r="46" spans="1:23" ht="30.75" thickBot="1">
      <c r="A46" s="525" t="s">
        <v>168</v>
      </c>
      <c r="B46" s="1068"/>
      <c r="C46" s="550"/>
      <c r="D46" s="550"/>
      <c r="E46" s="550"/>
      <c r="F46" s="834"/>
      <c r="G46" s="834"/>
      <c r="H46" s="834"/>
      <c r="I46" s="1271"/>
      <c r="J46" s="1079">
        <f t="shared" si="21"/>
        <v>0</v>
      </c>
      <c r="K46" s="1081"/>
      <c r="L46" s="635">
        <f t="shared" si="22"/>
        <v>0</v>
      </c>
      <c r="M46" s="1082">
        <f>5000*12*60%</f>
        <v>36000</v>
      </c>
      <c r="N46" s="1173"/>
      <c r="O46" s="1222"/>
      <c r="P46" s="1223"/>
      <c r="Q46" s="1223"/>
      <c r="R46" s="1223"/>
      <c r="S46" s="1223">
        <f>5000*12*40%</f>
        <v>24000</v>
      </c>
      <c r="T46" s="1224">
        <f t="shared" si="23"/>
        <v>24000</v>
      </c>
      <c r="U46" s="750"/>
      <c r="V46" s="750"/>
      <c r="W46" s="1083">
        <f t="shared" si="2"/>
        <v>60000</v>
      </c>
    </row>
    <row r="47" spans="1:23" ht="15.75" thickBot="1">
      <c r="A47" s="528" t="s">
        <v>36</v>
      </c>
      <c r="B47" s="1072">
        <f t="shared" ref="B47:V47" si="26">B45+B46</f>
        <v>0</v>
      </c>
      <c r="C47" s="551">
        <f t="shared" si="26"/>
        <v>0</v>
      </c>
      <c r="D47" s="551">
        <f t="shared" si="26"/>
        <v>0</v>
      </c>
      <c r="E47" s="551">
        <f t="shared" si="26"/>
        <v>0</v>
      </c>
      <c r="F47" s="835">
        <f t="shared" si="26"/>
        <v>0</v>
      </c>
      <c r="G47" s="835">
        <f t="shared" si="26"/>
        <v>0</v>
      </c>
      <c r="H47" s="835">
        <f t="shared" si="26"/>
        <v>0</v>
      </c>
      <c r="I47" s="1272">
        <f t="shared" si="26"/>
        <v>0</v>
      </c>
      <c r="J47" s="1074">
        <f t="shared" si="26"/>
        <v>0</v>
      </c>
      <c r="K47" s="1075">
        <f t="shared" si="26"/>
        <v>0</v>
      </c>
      <c r="L47" s="574">
        <f t="shared" si="26"/>
        <v>0</v>
      </c>
      <c r="M47" s="1076">
        <f t="shared" si="26"/>
        <v>115200</v>
      </c>
      <c r="N47" s="1170">
        <f t="shared" si="26"/>
        <v>0</v>
      </c>
      <c r="O47" s="1221">
        <f t="shared" si="26"/>
        <v>0</v>
      </c>
      <c r="P47" s="1221">
        <f t="shared" si="26"/>
        <v>0</v>
      </c>
      <c r="Q47" s="1221">
        <f>Q45+Q46</f>
        <v>0</v>
      </c>
      <c r="R47" s="1221">
        <f>R45+R46</f>
        <v>0</v>
      </c>
      <c r="S47" s="1221">
        <f t="shared" si="26"/>
        <v>76800</v>
      </c>
      <c r="T47" s="1211">
        <f t="shared" si="26"/>
        <v>76800</v>
      </c>
      <c r="U47" s="748">
        <f t="shared" si="26"/>
        <v>0</v>
      </c>
      <c r="V47" s="748">
        <f t="shared" si="26"/>
        <v>0</v>
      </c>
      <c r="W47" s="25">
        <f t="shared" si="2"/>
        <v>192000</v>
      </c>
    </row>
    <row r="48" spans="1:23">
      <c r="A48" s="8" t="s">
        <v>37</v>
      </c>
      <c r="B48" s="1060"/>
      <c r="C48" s="547"/>
      <c r="D48" s="547"/>
      <c r="E48" s="547"/>
      <c r="F48" s="831"/>
      <c r="G48" s="831"/>
      <c r="H48" s="831"/>
      <c r="I48" s="1268"/>
      <c r="J48" s="1034">
        <f t="shared" ref="J48:J62" si="27">SUM(B48:I48)</f>
        <v>0</v>
      </c>
      <c r="K48" s="1035"/>
      <c r="L48" s="1305">
        <f t="shared" ref="L48:L62" si="28">SUM(K48:K48)</f>
        <v>0</v>
      </c>
      <c r="M48" s="1084">
        <f>750000*40%</f>
        <v>300000</v>
      </c>
      <c r="N48" s="1174"/>
      <c r="O48" s="1201"/>
      <c r="P48" s="1202"/>
      <c r="Q48" s="1202"/>
      <c r="R48" s="1202"/>
      <c r="S48" s="1202">
        <f>750000*60%</f>
        <v>450000</v>
      </c>
      <c r="T48" s="1308">
        <f t="shared" ref="T48:T62" si="29">SUM(O48:S48)</f>
        <v>450000</v>
      </c>
      <c r="U48" s="741"/>
      <c r="V48" s="741"/>
      <c r="W48" s="25">
        <f t="shared" si="2"/>
        <v>750000</v>
      </c>
    </row>
    <row r="49" spans="1:23">
      <c r="A49" s="2" t="s">
        <v>38</v>
      </c>
      <c r="B49" s="1040"/>
      <c r="C49" s="544"/>
      <c r="D49" s="544"/>
      <c r="E49" s="544"/>
      <c r="F49" s="825"/>
      <c r="G49" s="825"/>
      <c r="H49" s="825"/>
      <c r="I49" s="1262"/>
      <c r="J49" s="1037">
        <f t="shared" si="27"/>
        <v>0</v>
      </c>
      <c r="K49" s="1041"/>
      <c r="L49" s="648">
        <f t="shared" si="28"/>
        <v>0</v>
      </c>
      <c r="M49" s="1085">
        <f>1100000*40%</f>
        <v>440000</v>
      </c>
      <c r="N49" s="1175"/>
      <c r="O49" s="1205"/>
      <c r="P49" s="1206"/>
      <c r="Q49" s="1206"/>
      <c r="R49" s="1206"/>
      <c r="S49" s="1206">
        <f>1100000*60%</f>
        <v>660000</v>
      </c>
      <c r="T49" s="1259">
        <f t="shared" si="29"/>
        <v>660000</v>
      </c>
      <c r="U49" s="742"/>
      <c r="V49" s="742"/>
      <c r="W49" s="1019">
        <f t="shared" si="2"/>
        <v>1100000</v>
      </c>
    </row>
    <row r="50" spans="1:23" ht="30">
      <c r="A50" s="2" t="s">
        <v>39</v>
      </c>
      <c r="B50" s="1040"/>
      <c r="C50" s="544"/>
      <c r="D50" s="544"/>
      <c r="E50" s="544"/>
      <c r="F50" s="825"/>
      <c r="G50" s="825"/>
      <c r="H50" s="825"/>
      <c r="I50" s="1262"/>
      <c r="J50" s="1037">
        <f t="shared" si="27"/>
        <v>0</v>
      </c>
      <c r="K50" s="1041"/>
      <c r="L50" s="648">
        <f t="shared" si="28"/>
        <v>0</v>
      </c>
      <c r="M50" s="1085"/>
      <c r="N50" s="1175"/>
      <c r="O50" s="1205"/>
      <c r="P50" s="1206"/>
      <c r="Q50" s="1206"/>
      <c r="R50" s="1206"/>
      <c r="S50" s="1206"/>
      <c r="T50" s="1259">
        <f t="shared" si="29"/>
        <v>0</v>
      </c>
      <c r="U50" s="742"/>
      <c r="V50" s="742"/>
      <c r="W50" s="1019">
        <f t="shared" si="2"/>
        <v>0</v>
      </c>
    </row>
    <row r="51" spans="1:23">
      <c r="A51" s="2" t="s">
        <v>40</v>
      </c>
      <c r="B51" s="1040"/>
      <c r="C51" s="544"/>
      <c r="D51" s="544"/>
      <c r="E51" s="544"/>
      <c r="F51" s="825"/>
      <c r="G51" s="825"/>
      <c r="H51" s="825"/>
      <c r="I51" s="1262"/>
      <c r="J51" s="1037">
        <f t="shared" si="27"/>
        <v>0</v>
      </c>
      <c r="K51" s="1041"/>
      <c r="L51" s="648">
        <f t="shared" si="28"/>
        <v>0</v>
      </c>
      <c r="M51" s="1085">
        <f>250000*40%</f>
        <v>100000</v>
      </c>
      <c r="N51" s="1175"/>
      <c r="O51" s="1205"/>
      <c r="P51" s="1206"/>
      <c r="Q51" s="1206"/>
      <c r="R51" s="1206"/>
      <c r="S51" s="1206">
        <f>250000*60%</f>
        <v>150000</v>
      </c>
      <c r="T51" s="1259">
        <f t="shared" si="29"/>
        <v>150000</v>
      </c>
      <c r="U51" s="742"/>
      <c r="V51" s="742"/>
      <c r="W51" s="1019">
        <f t="shared" si="2"/>
        <v>250000</v>
      </c>
    </row>
    <row r="52" spans="1:23">
      <c r="A52" s="10" t="s">
        <v>41</v>
      </c>
      <c r="B52" s="1062">
        <f t="shared" ref="B52:I52" si="30">SUM(B48:B51)</f>
        <v>0</v>
      </c>
      <c r="C52" s="549">
        <f t="shared" si="30"/>
        <v>0</v>
      </c>
      <c r="D52" s="549">
        <f t="shared" si="30"/>
        <v>0</v>
      </c>
      <c r="E52" s="549">
        <f t="shared" si="30"/>
        <v>0</v>
      </c>
      <c r="F52" s="833">
        <f t="shared" si="30"/>
        <v>0</v>
      </c>
      <c r="G52" s="833">
        <f t="shared" si="30"/>
        <v>0</v>
      </c>
      <c r="H52" s="833">
        <f t="shared" si="30"/>
        <v>0</v>
      </c>
      <c r="I52" s="1270">
        <f t="shared" si="30"/>
        <v>0</v>
      </c>
      <c r="J52" s="1064">
        <f t="shared" si="27"/>
        <v>0</v>
      </c>
      <c r="K52" s="1065">
        <f t="shared" ref="K52:S52" si="31">SUM(K48:K51)</f>
        <v>0</v>
      </c>
      <c r="L52" s="27">
        <f t="shared" si="28"/>
        <v>0</v>
      </c>
      <c r="M52" s="1086">
        <f t="shared" si="31"/>
        <v>840000</v>
      </c>
      <c r="N52" s="1176">
        <f t="shared" si="31"/>
        <v>0</v>
      </c>
      <c r="O52" s="1218">
        <f t="shared" si="31"/>
        <v>0</v>
      </c>
      <c r="P52" s="1218">
        <f t="shared" si="31"/>
        <v>0</v>
      </c>
      <c r="Q52" s="1218">
        <f>SUM(Q48:Q51)</f>
        <v>0</v>
      </c>
      <c r="R52" s="1218">
        <f>SUM(R48:R51)</f>
        <v>0</v>
      </c>
      <c r="S52" s="1218">
        <f t="shared" si="31"/>
        <v>1260000</v>
      </c>
      <c r="T52" s="1259">
        <f t="shared" si="29"/>
        <v>1260000</v>
      </c>
      <c r="U52" s="746">
        <f>SUM(U48:U51)</f>
        <v>0</v>
      </c>
      <c r="V52" s="746">
        <f>SUM(V48:V51)</f>
        <v>0</v>
      </c>
      <c r="W52" s="1019">
        <f t="shared" si="2"/>
        <v>2100000</v>
      </c>
    </row>
    <row r="53" spans="1:23">
      <c r="A53" s="10" t="s">
        <v>706</v>
      </c>
      <c r="B53" s="1062"/>
      <c r="C53" s="549"/>
      <c r="D53" s="549"/>
      <c r="E53" s="549"/>
      <c r="F53" s="833"/>
      <c r="G53" s="833"/>
      <c r="H53" s="833"/>
      <c r="I53" s="1270"/>
      <c r="J53" s="1037">
        <f t="shared" si="27"/>
        <v>0</v>
      </c>
      <c r="K53" s="1041"/>
      <c r="L53" s="648">
        <f t="shared" si="28"/>
        <v>0</v>
      </c>
      <c r="M53" s="1087"/>
      <c r="N53" s="1177"/>
      <c r="O53" s="1205"/>
      <c r="P53" s="1206"/>
      <c r="Q53" s="1206"/>
      <c r="R53" s="1206"/>
      <c r="S53" s="1206">
        <f>60000*1.04</f>
        <v>62400</v>
      </c>
      <c r="T53" s="1259">
        <f t="shared" si="29"/>
        <v>62400</v>
      </c>
      <c r="U53" s="751"/>
      <c r="V53" s="751"/>
      <c r="W53" s="1019">
        <f t="shared" si="2"/>
        <v>62400</v>
      </c>
    </row>
    <row r="54" spans="1:23">
      <c r="A54" s="10" t="s">
        <v>43</v>
      </c>
      <c r="B54" s="1062"/>
      <c r="C54" s="549"/>
      <c r="D54" s="549"/>
      <c r="E54" s="549"/>
      <c r="F54" s="833"/>
      <c r="G54" s="833"/>
      <c r="H54" s="833"/>
      <c r="I54" s="1270"/>
      <c r="J54" s="1037">
        <f t="shared" si="27"/>
        <v>0</v>
      </c>
      <c r="K54" s="1041"/>
      <c r="L54" s="648">
        <f t="shared" si="28"/>
        <v>0</v>
      </c>
      <c r="M54" s="1087"/>
      <c r="N54" s="1177"/>
      <c r="O54" s="1205"/>
      <c r="P54" s="1206"/>
      <c r="Q54" s="1206"/>
      <c r="R54" s="1206"/>
      <c r="S54" s="1206"/>
      <c r="T54" s="1259">
        <f t="shared" si="29"/>
        <v>0</v>
      </c>
      <c r="U54" s="751"/>
      <c r="V54" s="751"/>
      <c r="W54" s="1019">
        <f t="shared" si="2"/>
        <v>0</v>
      </c>
    </row>
    <row r="55" spans="1:23" ht="45">
      <c r="A55" s="10" t="s">
        <v>757</v>
      </c>
      <c r="B55" s="1062"/>
      <c r="C55" s="549"/>
      <c r="D55" s="549"/>
      <c r="E55" s="549"/>
      <c r="F55" s="833"/>
      <c r="G55" s="833"/>
      <c r="H55" s="833"/>
      <c r="I55" s="1270"/>
      <c r="J55" s="1037">
        <f t="shared" si="27"/>
        <v>0</v>
      </c>
      <c r="K55" s="1041"/>
      <c r="L55" s="648">
        <f t="shared" si="28"/>
        <v>0</v>
      </c>
      <c r="M55" s="1087">
        <f>9000*12+192000</f>
        <v>300000</v>
      </c>
      <c r="N55" s="1177"/>
      <c r="O55" s="1205"/>
      <c r="P55" s="1206"/>
      <c r="Q55" s="1206"/>
      <c r="R55" s="1206"/>
      <c r="S55" s="1206">
        <v>410000</v>
      </c>
      <c r="T55" s="1259">
        <f t="shared" si="29"/>
        <v>410000</v>
      </c>
      <c r="U55" s="751"/>
      <c r="V55" s="751"/>
      <c r="W55" s="1019">
        <f t="shared" si="2"/>
        <v>710000</v>
      </c>
    </row>
    <row r="56" spans="1:23" ht="30">
      <c r="A56" s="2" t="s">
        <v>44</v>
      </c>
      <c r="B56" s="1040"/>
      <c r="C56" s="544"/>
      <c r="D56" s="544"/>
      <c r="E56" s="544"/>
      <c r="F56" s="825"/>
      <c r="G56" s="825"/>
      <c r="H56" s="825"/>
      <c r="I56" s="1262"/>
      <c r="J56" s="1037">
        <f t="shared" si="27"/>
        <v>0</v>
      </c>
      <c r="K56" s="1041"/>
      <c r="L56" s="648">
        <f t="shared" si="28"/>
        <v>0</v>
      </c>
      <c r="M56" s="1085"/>
      <c r="N56" s="1175"/>
      <c r="O56" s="1205"/>
      <c r="P56" s="1206"/>
      <c r="Q56" s="1206"/>
      <c r="R56" s="1206"/>
      <c r="S56" s="1206"/>
      <c r="T56" s="1259">
        <f t="shared" si="29"/>
        <v>0</v>
      </c>
      <c r="U56" s="742"/>
      <c r="V56" s="742"/>
      <c r="W56" s="1019">
        <f t="shared" si="2"/>
        <v>0</v>
      </c>
    </row>
    <row r="57" spans="1:23" ht="30">
      <c r="A57" s="2" t="s">
        <v>45</v>
      </c>
      <c r="B57" s="1040"/>
      <c r="C57" s="544"/>
      <c r="D57" s="544"/>
      <c r="E57" s="544"/>
      <c r="F57" s="825"/>
      <c r="G57" s="825"/>
      <c r="H57" s="825"/>
      <c r="I57" s="1262"/>
      <c r="J57" s="1037">
        <f t="shared" si="27"/>
        <v>0</v>
      </c>
      <c r="K57" s="1041"/>
      <c r="L57" s="648">
        <f t="shared" si="28"/>
        <v>0</v>
      </c>
      <c r="M57" s="1085"/>
      <c r="N57" s="1175"/>
      <c r="O57" s="1205"/>
      <c r="P57" s="1206"/>
      <c r="Q57" s="1206"/>
      <c r="R57" s="1206"/>
      <c r="S57" s="1206"/>
      <c r="T57" s="1259">
        <f t="shared" si="29"/>
        <v>0</v>
      </c>
      <c r="U57" s="742"/>
      <c r="V57" s="742"/>
      <c r="W57" s="1019">
        <f t="shared" si="2"/>
        <v>0</v>
      </c>
    </row>
    <row r="58" spans="1:23">
      <c r="A58" s="10" t="s">
        <v>46</v>
      </c>
      <c r="B58" s="1062">
        <f t="shared" ref="B58:I58" si="32">SUM(B56:B57)</f>
        <v>0</v>
      </c>
      <c r="C58" s="549">
        <f t="shared" si="32"/>
        <v>0</v>
      </c>
      <c r="D58" s="549">
        <f t="shared" si="32"/>
        <v>0</v>
      </c>
      <c r="E58" s="549">
        <f t="shared" si="32"/>
        <v>0</v>
      </c>
      <c r="F58" s="833">
        <f t="shared" si="32"/>
        <v>0</v>
      </c>
      <c r="G58" s="833">
        <f t="shared" si="32"/>
        <v>0</v>
      </c>
      <c r="H58" s="833">
        <f t="shared" si="32"/>
        <v>0</v>
      </c>
      <c r="I58" s="1270">
        <f t="shared" si="32"/>
        <v>0</v>
      </c>
      <c r="J58" s="1064">
        <f t="shared" si="27"/>
        <v>0</v>
      </c>
      <c r="K58" s="1065">
        <f>SUM(K56:K57)</f>
        <v>0</v>
      </c>
      <c r="L58" s="648">
        <f t="shared" si="28"/>
        <v>0</v>
      </c>
      <c r="M58" s="1088">
        <f>M56+M57</f>
        <v>0</v>
      </c>
      <c r="N58" s="1172">
        <f>N56+N57</f>
        <v>0</v>
      </c>
      <c r="O58" s="1218">
        <f>SUM(O56:O57)</f>
        <v>0</v>
      </c>
      <c r="P58" s="1218">
        <f>SUM(P56:P57)</f>
        <v>0</v>
      </c>
      <c r="Q58" s="1218">
        <f>SUM(Q56:Q57)</f>
        <v>0</v>
      </c>
      <c r="R58" s="1218">
        <f>SUM(R56:R57)</f>
        <v>0</v>
      </c>
      <c r="S58" s="1218">
        <f>SUM(S56:S57)</f>
        <v>0</v>
      </c>
      <c r="T58" s="1259">
        <f t="shared" si="29"/>
        <v>0</v>
      </c>
      <c r="U58" s="746">
        <f>U56+U57</f>
        <v>0</v>
      </c>
      <c r="V58" s="746">
        <f>V56+V57</f>
        <v>0</v>
      </c>
      <c r="W58" s="1019">
        <f t="shared" si="2"/>
        <v>0</v>
      </c>
    </row>
    <row r="59" spans="1:23" ht="45">
      <c r="A59" s="2" t="s">
        <v>631</v>
      </c>
      <c r="B59" s="1040"/>
      <c r="C59" s="544"/>
      <c r="D59" s="544"/>
      <c r="E59" s="544"/>
      <c r="F59" s="825"/>
      <c r="G59" s="825"/>
      <c r="H59" s="825"/>
      <c r="I59" s="1262">
        <f>78740+47244</f>
        <v>125984</v>
      </c>
      <c r="J59" s="1037">
        <f t="shared" si="27"/>
        <v>125984</v>
      </c>
      <c r="K59" s="1041">
        <f>840000+550000+610000</f>
        <v>2000000</v>
      </c>
      <c r="L59" s="648">
        <f t="shared" si="28"/>
        <v>2000000</v>
      </c>
      <c r="M59" s="1085"/>
      <c r="N59" s="1175"/>
      <c r="O59" s="1205"/>
      <c r="P59" s="1206"/>
      <c r="Q59" s="1206"/>
      <c r="R59" s="1206"/>
      <c r="S59" s="1206">
        <v>23622</v>
      </c>
      <c r="T59" s="1259">
        <f t="shared" si="29"/>
        <v>23622</v>
      </c>
      <c r="U59" s="742"/>
      <c r="V59" s="742"/>
      <c r="W59" s="1019">
        <f t="shared" si="2"/>
        <v>2149606</v>
      </c>
    </row>
    <row r="60" spans="1:23" ht="30">
      <c r="A60" s="2" t="s">
        <v>758</v>
      </c>
      <c r="B60" s="1040"/>
      <c r="C60" s="544"/>
      <c r="D60" s="544"/>
      <c r="E60" s="544"/>
      <c r="F60" s="825"/>
      <c r="G60" s="825"/>
      <c r="H60" s="825"/>
      <c r="I60" s="1262">
        <f>47244</f>
        <v>47244</v>
      </c>
      <c r="J60" s="1037">
        <f t="shared" si="27"/>
        <v>47244</v>
      </c>
      <c r="K60" s="1041"/>
      <c r="L60" s="648">
        <f t="shared" si="28"/>
        <v>0</v>
      </c>
      <c r="M60" s="1085"/>
      <c r="N60" s="1175"/>
      <c r="O60" s="1205"/>
      <c r="P60" s="1206"/>
      <c r="Q60" s="1206"/>
      <c r="R60" s="1206"/>
      <c r="S60" s="1206"/>
      <c r="T60" s="1259">
        <f t="shared" si="29"/>
        <v>0</v>
      </c>
      <c r="U60" s="742"/>
      <c r="V60" s="742"/>
      <c r="W60" s="1019">
        <f t="shared" si="2"/>
        <v>47244</v>
      </c>
    </row>
    <row r="61" spans="1:23" ht="30">
      <c r="A61" s="10" t="s">
        <v>47</v>
      </c>
      <c r="B61" s="1062">
        <f t="shared" ref="B61:I61" si="33">SUM(B59:B60)</f>
        <v>0</v>
      </c>
      <c r="C61" s="549">
        <f t="shared" si="33"/>
        <v>0</v>
      </c>
      <c r="D61" s="549">
        <f t="shared" si="33"/>
        <v>0</v>
      </c>
      <c r="E61" s="549">
        <f t="shared" si="33"/>
        <v>0</v>
      </c>
      <c r="F61" s="833">
        <f t="shared" si="33"/>
        <v>0</v>
      </c>
      <c r="G61" s="833">
        <f t="shared" si="33"/>
        <v>0</v>
      </c>
      <c r="H61" s="833">
        <f t="shared" si="33"/>
        <v>0</v>
      </c>
      <c r="I61" s="1270">
        <f t="shared" si="33"/>
        <v>173228</v>
      </c>
      <c r="J61" s="1064">
        <f t="shared" si="27"/>
        <v>173228</v>
      </c>
      <c r="K61" s="1065">
        <f t="shared" ref="K61:S61" si="34">SUM(K59:K60)</f>
        <v>2000000</v>
      </c>
      <c r="L61" s="648">
        <f t="shared" si="28"/>
        <v>2000000</v>
      </c>
      <c r="M61" s="1086">
        <f t="shared" si="34"/>
        <v>0</v>
      </c>
      <c r="N61" s="1176">
        <f t="shared" si="34"/>
        <v>0</v>
      </c>
      <c r="O61" s="1218">
        <f t="shared" si="34"/>
        <v>0</v>
      </c>
      <c r="P61" s="1218">
        <f t="shared" si="34"/>
        <v>0</v>
      </c>
      <c r="Q61" s="1218">
        <f>SUM(Q59:Q60)</f>
        <v>0</v>
      </c>
      <c r="R61" s="1218">
        <f>SUM(R59:R60)</f>
        <v>0</v>
      </c>
      <c r="S61" s="1218">
        <f t="shared" si="34"/>
        <v>23622</v>
      </c>
      <c r="T61" s="1259">
        <f t="shared" si="29"/>
        <v>23622</v>
      </c>
      <c r="U61" s="746">
        <f>SUM(U59:U60)</f>
        <v>0</v>
      </c>
      <c r="V61" s="746">
        <f>SUM(V59:V60)</f>
        <v>0</v>
      </c>
      <c r="W61" s="1019">
        <f t="shared" si="2"/>
        <v>2196850</v>
      </c>
    </row>
    <row r="62" spans="1:23" ht="45.75" thickBot="1">
      <c r="A62" s="525" t="s">
        <v>693</v>
      </c>
      <c r="B62" s="1068"/>
      <c r="C62" s="550"/>
      <c r="D62" s="550"/>
      <c r="E62" s="550"/>
      <c r="F62" s="834"/>
      <c r="G62" s="834"/>
      <c r="H62" s="834"/>
      <c r="I62" s="1271">
        <f>1200*12</f>
        <v>14400</v>
      </c>
      <c r="J62" s="1043">
        <f t="shared" si="27"/>
        <v>14400</v>
      </c>
      <c r="K62" s="1044"/>
      <c r="L62" s="1310">
        <f t="shared" si="28"/>
        <v>0</v>
      </c>
      <c r="M62" s="1089">
        <v>100000</v>
      </c>
      <c r="N62" s="1178"/>
      <c r="O62" s="1207"/>
      <c r="P62" s="1208"/>
      <c r="Q62" s="1208"/>
      <c r="R62" s="1208"/>
      <c r="S62" s="1208">
        <v>150000</v>
      </c>
      <c r="T62" s="1313">
        <f t="shared" si="29"/>
        <v>150000</v>
      </c>
      <c r="U62" s="750"/>
      <c r="V62" s="750"/>
      <c r="W62" s="1020">
        <f t="shared" si="2"/>
        <v>264400</v>
      </c>
    </row>
    <row r="63" spans="1:23" ht="16.5" thickBot="1">
      <c r="A63" s="1090" t="s">
        <v>48</v>
      </c>
      <c r="B63" s="1091">
        <f t="shared" ref="B63:V63" si="35">B52+B53+B54+B55+B58+B61+B62</f>
        <v>0</v>
      </c>
      <c r="C63" s="1092">
        <f t="shared" si="35"/>
        <v>0</v>
      </c>
      <c r="D63" s="1092">
        <f t="shared" si="35"/>
        <v>0</v>
      </c>
      <c r="E63" s="1092">
        <f t="shared" si="35"/>
        <v>0</v>
      </c>
      <c r="F63" s="1093">
        <f t="shared" si="35"/>
        <v>0</v>
      </c>
      <c r="G63" s="1093">
        <f t="shared" si="35"/>
        <v>0</v>
      </c>
      <c r="H63" s="1093">
        <f t="shared" si="35"/>
        <v>0</v>
      </c>
      <c r="I63" s="1273">
        <f t="shared" si="35"/>
        <v>187628</v>
      </c>
      <c r="J63" s="1094">
        <f t="shared" si="35"/>
        <v>187628</v>
      </c>
      <c r="K63" s="1095">
        <f t="shared" si="35"/>
        <v>2000000</v>
      </c>
      <c r="L63" s="1096">
        <f t="shared" si="35"/>
        <v>2000000</v>
      </c>
      <c r="M63" s="1097">
        <f t="shared" si="35"/>
        <v>1240000</v>
      </c>
      <c r="N63" s="1179">
        <f t="shared" si="35"/>
        <v>0</v>
      </c>
      <c r="O63" s="1225">
        <f t="shared" si="35"/>
        <v>0</v>
      </c>
      <c r="P63" s="1225">
        <f t="shared" si="35"/>
        <v>0</v>
      </c>
      <c r="Q63" s="1225">
        <f t="shared" si="35"/>
        <v>0</v>
      </c>
      <c r="R63" s="1225">
        <f t="shared" si="35"/>
        <v>0</v>
      </c>
      <c r="S63" s="1225">
        <f t="shared" si="35"/>
        <v>1906022</v>
      </c>
      <c r="T63" s="1226">
        <f t="shared" si="35"/>
        <v>1906022</v>
      </c>
      <c r="U63" s="1098">
        <f t="shared" si="35"/>
        <v>0</v>
      </c>
      <c r="V63" s="1098">
        <f t="shared" si="35"/>
        <v>0</v>
      </c>
      <c r="W63" s="1624">
        <f t="shared" si="2"/>
        <v>5333650</v>
      </c>
    </row>
    <row r="64" spans="1:23">
      <c r="A64" s="1733" t="s">
        <v>673</v>
      </c>
      <c r="B64" s="1786" t="s">
        <v>661</v>
      </c>
      <c r="C64" s="1787"/>
      <c r="D64" s="1787"/>
      <c r="E64" s="1787"/>
      <c r="F64" s="1787"/>
      <c r="G64" s="1787"/>
      <c r="H64" s="1787"/>
      <c r="I64" s="1787"/>
      <c r="J64" s="1788"/>
      <c r="K64" s="1749" t="s">
        <v>662</v>
      </c>
      <c r="L64" s="1750"/>
      <c r="M64" s="1789" t="s">
        <v>663</v>
      </c>
      <c r="N64" s="1790" t="s">
        <v>664</v>
      </c>
      <c r="O64" s="1791" t="s">
        <v>676</v>
      </c>
      <c r="P64" s="1791"/>
      <c r="Q64" s="1791"/>
      <c r="R64" s="1791"/>
      <c r="S64" s="1791"/>
      <c r="T64" s="1792"/>
      <c r="U64" s="1722"/>
      <c r="V64" s="1722"/>
      <c r="W64" s="1748" t="s">
        <v>12</v>
      </c>
    </row>
    <row r="65" spans="1:23" ht="45.75" thickBot="1">
      <c r="A65" s="1715"/>
      <c r="B65" s="1030" t="s">
        <v>677</v>
      </c>
      <c r="C65" s="613" t="s">
        <v>678</v>
      </c>
      <c r="D65" s="613" t="s">
        <v>679</v>
      </c>
      <c r="E65" s="613" t="s">
        <v>685</v>
      </c>
      <c r="F65" s="823" t="s">
        <v>680</v>
      </c>
      <c r="G65" s="823" t="s">
        <v>681</v>
      </c>
      <c r="H65" s="823"/>
      <c r="I65" s="1260" t="s">
        <v>665</v>
      </c>
      <c r="J65" s="1031" t="s">
        <v>12</v>
      </c>
      <c r="K65" s="1032"/>
      <c r="L65" s="625" t="s">
        <v>12</v>
      </c>
      <c r="M65" s="1759"/>
      <c r="N65" s="1761"/>
      <c r="O65" s="1199" t="s">
        <v>682</v>
      </c>
      <c r="P65" s="1200" t="s">
        <v>683</v>
      </c>
      <c r="Q65" s="1200" t="s">
        <v>684</v>
      </c>
      <c r="R65" s="1200" t="s">
        <v>686</v>
      </c>
      <c r="S65" s="1200"/>
      <c r="T65" s="1200" t="s">
        <v>12</v>
      </c>
      <c r="U65" s="1723"/>
      <c r="V65" s="1723"/>
      <c r="W65" s="1719"/>
    </row>
    <row r="66" spans="1:23" ht="30">
      <c r="A66" s="527" t="s">
        <v>169</v>
      </c>
      <c r="B66" s="1033"/>
      <c r="C66" s="543"/>
      <c r="D66" s="543"/>
      <c r="E66" s="543"/>
      <c r="F66" s="824"/>
      <c r="G66" s="824"/>
      <c r="H66" s="824"/>
      <c r="I66" s="1261">
        <f>10000+40000</f>
        <v>50000</v>
      </c>
      <c r="J66" s="1077">
        <f>SUM(B66:I66)</f>
        <v>50000</v>
      </c>
      <c r="K66" s="1038"/>
      <c r="L66" s="647">
        <f>SUM(K66:K66)</f>
        <v>0</v>
      </c>
      <c r="M66" s="1078"/>
      <c r="N66" s="1171"/>
      <c r="O66" s="1203"/>
      <c r="P66" s="1204"/>
      <c r="Q66" s="1204"/>
      <c r="R66" s="1204"/>
      <c r="S66" s="1204">
        <v>10000</v>
      </c>
      <c r="T66" s="1258">
        <f>SUM(O66:S66)</f>
        <v>10000</v>
      </c>
      <c r="U66" s="749"/>
      <c r="V66" s="749"/>
      <c r="W66" s="25">
        <f t="shared" si="2"/>
        <v>60000</v>
      </c>
    </row>
    <row r="67" spans="1:23">
      <c r="A67" s="2" t="s">
        <v>49</v>
      </c>
      <c r="B67" s="1040"/>
      <c r="C67" s="544"/>
      <c r="D67" s="544"/>
      <c r="E67" s="544"/>
      <c r="F67" s="825"/>
      <c r="G67" s="825"/>
      <c r="H67" s="825"/>
      <c r="I67" s="1262"/>
      <c r="J67" s="1077">
        <f>SUM(B67:I67)</f>
        <v>0</v>
      </c>
      <c r="K67" s="1041"/>
      <c r="L67" s="647">
        <f>SUM(K67:K67)</f>
        <v>0</v>
      </c>
      <c r="M67" s="1039"/>
      <c r="N67" s="1163"/>
      <c r="O67" s="1205"/>
      <c r="P67" s="1206"/>
      <c r="Q67" s="1206"/>
      <c r="R67" s="1206"/>
      <c r="S67" s="1206"/>
      <c r="T67" s="1258">
        <f>SUM(O67:S67)</f>
        <v>0</v>
      </c>
      <c r="U67" s="742"/>
      <c r="V67" s="742"/>
      <c r="W67" s="1019">
        <f t="shared" si="2"/>
        <v>0</v>
      </c>
    </row>
    <row r="68" spans="1:23">
      <c r="A68" s="10" t="s">
        <v>50</v>
      </c>
      <c r="B68" s="1062">
        <f t="shared" ref="B68:I68" si="36">SUM(B66:B67)</f>
        <v>0</v>
      </c>
      <c r="C68" s="549">
        <f t="shared" si="36"/>
        <v>0</v>
      </c>
      <c r="D68" s="549">
        <f t="shared" si="36"/>
        <v>0</v>
      </c>
      <c r="E68" s="549">
        <f t="shared" si="36"/>
        <v>0</v>
      </c>
      <c r="F68" s="833">
        <f t="shared" si="36"/>
        <v>0</v>
      </c>
      <c r="G68" s="833">
        <f t="shared" si="36"/>
        <v>0</v>
      </c>
      <c r="H68" s="833">
        <f t="shared" si="36"/>
        <v>0</v>
      </c>
      <c r="I68" s="1270">
        <f t="shared" si="36"/>
        <v>50000</v>
      </c>
      <c r="J68" s="1079">
        <f>SUM(B68:I68)</f>
        <v>50000</v>
      </c>
      <c r="K68" s="1065">
        <f t="shared" ref="K68:S68" si="37">SUM(K66:K67)</f>
        <v>0</v>
      </c>
      <c r="L68" s="635">
        <f>SUM(K68:K68)</f>
        <v>0</v>
      </c>
      <c r="M68" s="1066">
        <f t="shared" si="37"/>
        <v>0</v>
      </c>
      <c r="N68" s="1168">
        <f t="shared" si="37"/>
        <v>0</v>
      </c>
      <c r="O68" s="1218">
        <f t="shared" si="37"/>
        <v>0</v>
      </c>
      <c r="P68" s="1218">
        <f t="shared" si="37"/>
        <v>0</v>
      </c>
      <c r="Q68" s="1218">
        <f>SUM(Q66:Q67)</f>
        <v>0</v>
      </c>
      <c r="R68" s="1218">
        <f>SUM(R66:R67)</f>
        <v>0</v>
      </c>
      <c r="S68" s="1218">
        <f t="shared" si="37"/>
        <v>10000</v>
      </c>
      <c r="T68" s="1258">
        <f>SUM(O68:S68)</f>
        <v>10000</v>
      </c>
      <c r="U68" s="1067">
        <f>SUM(U66:U67)</f>
        <v>0</v>
      </c>
      <c r="V68" s="1067">
        <f>SUM(V66:V67)</f>
        <v>0</v>
      </c>
      <c r="W68" s="1019">
        <f t="shared" si="2"/>
        <v>60000</v>
      </c>
    </row>
    <row r="69" spans="1:23" ht="15.75" thickBot="1">
      <c r="A69" s="525" t="s">
        <v>51</v>
      </c>
      <c r="B69" s="1068"/>
      <c r="C69" s="550"/>
      <c r="D69" s="550"/>
      <c r="E69" s="550"/>
      <c r="F69" s="834"/>
      <c r="G69" s="834"/>
      <c r="H69" s="834"/>
      <c r="I69" s="1271"/>
      <c r="J69" s="1077">
        <f>SUM(B69:I69)</f>
        <v>0</v>
      </c>
      <c r="K69" s="1044"/>
      <c r="L69" s="647">
        <f>SUM(K69:K69)</f>
        <v>0</v>
      </c>
      <c r="M69" s="1082"/>
      <c r="N69" s="1173"/>
      <c r="O69" s="1207"/>
      <c r="P69" s="1208"/>
      <c r="Q69" s="1208"/>
      <c r="R69" s="1208"/>
      <c r="S69" s="1208"/>
      <c r="T69" s="1258">
        <f>SUM(O69:S69)</f>
        <v>0</v>
      </c>
      <c r="U69" s="750"/>
      <c r="V69" s="750"/>
      <c r="W69" s="1020">
        <f t="shared" si="2"/>
        <v>0</v>
      </c>
    </row>
    <row r="70" spans="1:23" ht="30.75" thickBot="1">
      <c r="A70" s="528" t="s">
        <v>52</v>
      </c>
      <c r="B70" s="1072">
        <f t="shared" ref="B70:S70" si="38">B68+B69</f>
        <v>0</v>
      </c>
      <c r="C70" s="551">
        <f t="shared" si="38"/>
        <v>0</v>
      </c>
      <c r="D70" s="551">
        <f t="shared" si="38"/>
        <v>0</v>
      </c>
      <c r="E70" s="551">
        <f t="shared" si="38"/>
        <v>0</v>
      </c>
      <c r="F70" s="835">
        <f t="shared" si="38"/>
        <v>0</v>
      </c>
      <c r="G70" s="835">
        <f t="shared" si="38"/>
        <v>0</v>
      </c>
      <c r="H70" s="835">
        <f t="shared" si="38"/>
        <v>0</v>
      </c>
      <c r="I70" s="1272">
        <f t="shared" si="38"/>
        <v>50000</v>
      </c>
      <c r="J70" s="1074">
        <f t="shared" si="38"/>
        <v>50000</v>
      </c>
      <c r="K70" s="1075">
        <f t="shared" si="38"/>
        <v>0</v>
      </c>
      <c r="L70" s="574">
        <f t="shared" si="38"/>
        <v>0</v>
      </c>
      <c r="M70" s="1076">
        <f t="shared" si="38"/>
        <v>0</v>
      </c>
      <c r="N70" s="1170">
        <f t="shared" si="38"/>
        <v>0</v>
      </c>
      <c r="O70" s="1221">
        <f t="shared" si="38"/>
        <v>0</v>
      </c>
      <c r="P70" s="1221">
        <f t="shared" si="38"/>
        <v>0</v>
      </c>
      <c r="Q70" s="1221">
        <f>Q68+Q69</f>
        <v>0</v>
      </c>
      <c r="R70" s="1221">
        <f>R68+R69</f>
        <v>0</v>
      </c>
      <c r="S70" s="1221">
        <f t="shared" si="38"/>
        <v>10000</v>
      </c>
      <c r="T70" s="1211">
        <f>T68+T69</f>
        <v>10000</v>
      </c>
      <c r="U70" s="748">
        <f>U68+U69</f>
        <v>0</v>
      </c>
      <c r="V70" s="748">
        <f>V68+V69</f>
        <v>0</v>
      </c>
      <c r="W70" s="25">
        <f t="shared" ref="W70:W136" si="39">J70+L70+N70+U70+V70+T70+M70</f>
        <v>60000</v>
      </c>
    </row>
    <row r="71" spans="1:23">
      <c r="A71" s="14" t="s">
        <v>170</v>
      </c>
      <c r="B71" s="1099"/>
      <c r="C71" s="573"/>
      <c r="D71" s="573"/>
      <c r="E71" s="573"/>
      <c r="F71" s="836"/>
      <c r="G71" s="836"/>
      <c r="H71" s="836"/>
      <c r="I71" s="1274">
        <f>(I40+I47+I63)*27%</f>
        <v>118765.44</v>
      </c>
      <c r="J71" s="1523">
        <f t="shared" ref="J71:J80" si="40">SUM(B71:I71)</f>
        <v>118765.44</v>
      </c>
      <c r="K71" s="1524"/>
      <c r="L71" s="647">
        <f t="shared" ref="L71:L80" si="41">SUM(K71:K71)</f>
        <v>0</v>
      </c>
      <c r="M71" s="1100">
        <f>(M40+M47+M63)*27%</f>
        <v>501841.44000000006</v>
      </c>
      <c r="N71" s="1180"/>
      <c r="O71" s="1525"/>
      <c r="P71" s="1526"/>
      <c r="Q71" s="1526"/>
      <c r="R71" s="1526"/>
      <c r="S71" s="1526">
        <f>(S40+S47+S63)*26%</f>
        <v>3382293.72</v>
      </c>
      <c r="T71" s="1258">
        <f t="shared" ref="T71:T80" si="42">SUM(O71:S71)</f>
        <v>3382293.72</v>
      </c>
      <c r="U71" s="752"/>
      <c r="V71" s="752"/>
      <c r="W71" s="25">
        <f>J71+L71+N71+U71+V71+T71+M71</f>
        <v>4002900.6</v>
      </c>
    </row>
    <row r="72" spans="1:23">
      <c r="A72" s="10" t="s">
        <v>53</v>
      </c>
      <c r="B72" s="1062"/>
      <c r="C72" s="549"/>
      <c r="D72" s="549"/>
      <c r="E72" s="549"/>
      <c r="F72" s="833"/>
      <c r="G72" s="833"/>
      <c r="H72" s="833"/>
      <c r="I72" s="1270"/>
      <c r="J72" s="1523">
        <f t="shared" si="40"/>
        <v>0</v>
      </c>
      <c r="K72" s="1527"/>
      <c r="L72" s="647">
        <f t="shared" si="41"/>
        <v>0</v>
      </c>
      <c r="M72" s="1101"/>
      <c r="N72" s="1181"/>
      <c r="O72" s="1528"/>
      <c r="P72" s="1529"/>
      <c r="Q72" s="1529"/>
      <c r="R72" s="1529"/>
      <c r="S72" s="1529">
        <f>S170+680783</f>
        <v>2921783</v>
      </c>
      <c r="T72" s="1258">
        <f t="shared" si="42"/>
        <v>2921783</v>
      </c>
      <c r="U72" s="751"/>
      <c r="V72" s="751"/>
      <c r="W72" s="1019">
        <f>J72+L72+N72+U72+V72+T72+M72</f>
        <v>2921783</v>
      </c>
    </row>
    <row r="73" spans="1:23">
      <c r="A73" s="2" t="s">
        <v>54</v>
      </c>
      <c r="B73" s="1040"/>
      <c r="C73" s="544"/>
      <c r="D73" s="544"/>
      <c r="E73" s="544"/>
      <c r="F73" s="825"/>
      <c r="G73" s="825"/>
      <c r="H73" s="825"/>
      <c r="I73" s="1262"/>
      <c r="J73" s="1523">
        <f t="shared" si="40"/>
        <v>0</v>
      </c>
      <c r="K73" s="1041"/>
      <c r="L73" s="647">
        <f t="shared" si="41"/>
        <v>0</v>
      </c>
      <c r="M73" s="1039"/>
      <c r="N73" s="1163"/>
      <c r="O73" s="1205"/>
      <c r="P73" s="1206"/>
      <c r="Q73" s="1206"/>
      <c r="R73" s="1206"/>
      <c r="S73" s="1206"/>
      <c r="T73" s="1258">
        <f t="shared" si="42"/>
        <v>0</v>
      </c>
      <c r="U73" s="742"/>
      <c r="V73" s="742"/>
      <c r="W73" s="1019">
        <f t="shared" si="39"/>
        <v>0</v>
      </c>
    </row>
    <row r="74" spans="1:23">
      <c r="A74" s="10" t="s">
        <v>595</v>
      </c>
      <c r="B74" s="1062">
        <f t="shared" ref="B74:I74" si="43">B73</f>
        <v>0</v>
      </c>
      <c r="C74" s="549">
        <f t="shared" si="43"/>
        <v>0</v>
      </c>
      <c r="D74" s="549">
        <f t="shared" si="43"/>
        <v>0</v>
      </c>
      <c r="E74" s="549">
        <f t="shared" si="43"/>
        <v>0</v>
      </c>
      <c r="F74" s="833">
        <f t="shared" si="43"/>
        <v>0</v>
      </c>
      <c r="G74" s="833">
        <f t="shared" si="43"/>
        <v>0</v>
      </c>
      <c r="H74" s="833">
        <f t="shared" si="43"/>
        <v>0</v>
      </c>
      <c r="I74" s="1270">
        <f t="shared" si="43"/>
        <v>0</v>
      </c>
      <c r="J74" s="1102">
        <f t="shared" si="40"/>
        <v>0</v>
      </c>
      <c r="K74" s="1065">
        <f>K73</f>
        <v>0</v>
      </c>
      <c r="L74" s="635">
        <f t="shared" si="41"/>
        <v>0</v>
      </c>
      <c r="M74" s="1080">
        <f t="shared" ref="M74:S74" si="44">M73</f>
        <v>0</v>
      </c>
      <c r="N74" s="1172">
        <f t="shared" si="44"/>
        <v>0</v>
      </c>
      <c r="O74" s="1218">
        <f t="shared" si="44"/>
        <v>0</v>
      </c>
      <c r="P74" s="1218">
        <f t="shared" si="44"/>
        <v>0</v>
      </c>
      <c r="Q74" s="1218">
        <f t="shared" si="44"/>
        <v>0</v>
      </c>
      <c r="R74" s="1218">
        <f t="shared" si="44"/>
        <v>0</v>
      </c>
      <c r="S74" s="1218">
        <f t="shared" si="44"/>
        <v>0</v>
      </c>
      <c r="T74" s="1224">
        <f t="shared" si="42"/>
        <v>0</v>
      </c>
      <c r="U74" s="746">
        <f>U73</f>
        <v>0</v>
      </c>
      <c r="V74" s="746">
        <f>V73</f>
        <v>0</v>
      </c>
      <c r="W74" s="1019">
        <f t="shared" si="39"/>
        <v>0</v>
      </c>
    </row>
    <row r="75" spans="1:23">
      <c r="A75" s="2" t="s">
        <v>55</v>
      </c>
      <c r="B75" s="1040"/>
      <c r="C75" s="544"/>
      <c r="D75" s="544"/>
      <c r="E75" s="544"/>
      <c r="F75" s="825"/>
      <c r="G75" s="825"/>
      <c r="H75" s="825"/>
      <c r="I75" s="1262"/>
      <c r="J75" s="1523">
        <f t="shared" si="40"/>
        <v>0</v>
      </c>
      <c r="K75" s="1041"/>
      <c r="L75" s="647">
        <f t="shared" si="41"/>
        <v>0</v>
      </c>
      <c r="M75" s="1039"/>
      <c r="N75" s="1163"/>
      <c r="O75" s="1205"/>
      <c r="P75" s="1206"/>
      <c r="Q75" s="1206"/>
      <c r="R75" s="1206"/>
      <c r="S75" s="1206"/>
      <c r="T75" s="1258">
        <f t="shared" si="42"/>
        <v>0</v>
      </c>
      <c r="U75" s="742"/>
      <c r="V75" s="742"/>
      <c r="W75" s="1019">
        <f t="shared" si="39"/>
        <v>0</v>
      </c>
    </row>
    <row r="76" spans="1:23">
      <c r="A76" s="2" t="s">
        <v>56</v>
      </c>
      <c r="B76" s="1040"/>
      <c r="C76" s="544"/>
      <c r="D76" s="544"/>
      <c r="E76" s="544"/>
      <c r="F76" s="825"/>
      <c r="G76" s="825"/>
      <c r="H76" s="825"/>
      <c r="I76" s="1262"/>
      <c r="J76" s="1523">
        <f t="shared" si="40"/>
        <v>0</v>
      </c>
      <c r="K76" s="1041"/>
      <c r="L76" s="647">
        <f t="shared" si="41"/>
        <v>0</v>
      </c>
      <c r="M76" s="1039"/>
      <c r="N76" s="1163"/>
      <c r="O76" s="1205"/>
      <c r="P76" s="1206"/>
      <c r="Q76" s="1206"/>
      <c r="R76" s="1206"/>
      <c r="S76" s="1206"/>
      <c r="T76" s="1258">
        <f t="shared" si="42"/>
        <v>0</v>
      </c>
      <c r="U76" s="742"/>
      <c r="V76" s="742"/>
      <c r="W76" s="1019">
        <f t="shared" si="39"/>
        <v>0</v>
      </c>
    </row>
    <row r="77" spans="1:23" ht="30">
      <c r="A77" s="2" t="s">
        <v>57</v>
      </c>
      <c r="B77" s="1040"/>
      <c r="C77" s="544"/>
      <c r="D77" s="544"/>
      <c r="E77" s="544"/>
      <c r="F77" s="825"/>
      <c r="G77" s="825"/>
      <c r="H77" s="825"/>
      <c r="I77" s="1262"/>
      <c r="J77" s="1523">
        <f t="shared" si="40"/>
        <v>0</v>
      </c>
      <c r="K77" s="1041"/>
      <c r="L77" s="647">
        <f t="shared" si="41"/>
        <v>0</v>
      </c>
      <c r="M77" s="1039"/>
      <c r="N77" s="1163"/>
      <c r="O77" s="1205"/>
      <c r="P77" s="1206"/>
      <c r="Q77" s="1206"/>
      <c r="R77" s="1206"/>
      <c r="S77" s="1206"/>
      <c r="T77" s="1258">
        <f t="shared" si="42"/>
        <v>0</v>
      </c>
      <c r="U77" s="742"/>
      <c r="V77" s="742"/>
      <c r="W77" s="1019">
        <f t="shared" si="39"/>
        <v>0</v>
      </c>
    </row>
    <row r="78" spans="1:23">
      <c r="A78" s="2" t="s">
        <v>667</v>
      </c>
      <c r="B78" s="1040"/>
      <c r="C78" s="544"/>
      <c r="D78" s="544"/>
      <c r="E78" s="544"/>
      <c r="F78" s="825"/>
      <c r="G78" s="825"/>
      <c r="H78" s="825"/>
      <c r="I78" s="1262"/>
      <c r="J78" s="1523">
        <f t="shared" si="40"/>
        <v>0</v>
      </c>
      <c r="K78" s="1041"/>
      <c r="L78" s="647">
        <f t="shared" si="41"/>
        <v>0</v>
      </c>
      <c r="M78" s="1039"/>
      <c r="N78" s="1163"/>
      <c r="O78" s="1205"/>
      <c r="P78" s="1206"/>
      <c r="Q78" s="1206"/>
      <c r="R78" s="1206"/>
      <c r="S78" s="1206"/>
      <c r="T78" s="1258">
        <f t="shared" si="42"/>
        <v>0</v>
      </c>
      <c r="U78" s="742"/>
      <c r="V78" s="742"/>
      <c r="W78" s="1019">
        <f t="shared" si="39"/>
        <v>0</v>
      </c>
    </row>
    <row r="79" spans="1:23" ht="30">
      <c r="A79" s="2" t="s">
        <v>694</v>
      </c>
      <c r="B79" s="1040"/>
      <c r="C79" s="544"/>
      <c r="D79" s="544"/>
      <c r="E79" s="544"/>
      <c r="F79" s="825"/>
      <c r="G79" s="825"/>
      <c r="H79" s="825"/>
      <c r="I79" s="1262">
        <v>300</v>
      </c>
      <c r="J79" s="1523">
        <f t="shared" si="40"/>
        <v>300</v>
      </c>
      <c r="K79" s="1041"/>
      <c r="L79" s="647">
        <f t="shared" si="41"/>
        <v>0</v>
      </c>
      <c r="M79" s="1039">
        <v>350</v>
      </c>
      <c r="N79" s="1163"/>
      <c r="O79" s="1205"/>
      <c r="P79" s="1206"/>
      <c r="Q79" s="1206"/>
      <c r="R79" s="1206"/>
      <c r="S79" s="1206">
        <v>350</v>
      </c>
      <c r="T79" s="1258">
        <f t="shared" si="42"/>
        <v>350</v>
      </c>
      <c r="U79" s="742"/>
      <c r="V79" s="742"/>
      <c r="W79" s="1019">
        <f t="shared" si="39"/>
        <v>1000</v>
      </c>
    </row>
    <row r="80" spans="1:23" ht="15.75" thickBot="1">
      <c r="A80" s="525" t="s">
        <v>58</v>
      </c>
      <c r="B80" s="1068">
        <f t="shared" ref="B80:I80" si="45">SUM(B75:B79)</f>
        <v>0</v>
      </c>
      <c r="C80" s="550">
        <f t="shared" si="45"/>
        <v>0</v>
      </c>
      <c r="D80" s="550">
        <f t="shared" si="45"/>
        <v>0</v>
      </c>
      <c r="E80" s="550">
        <f t="shared" si="45"/>
        <v>0</v>
      </c>
      <c r="F80" s="834">
        <f t="shared" si="45"/>
        <v>0</v>
      </c>
      <c r="G80" s="834">
        <f t="shared" si="45"/>
        <v>0</v>
      </c>
      <c r="H80" s="834">
        <f t="shared" si="45"/>
        <v>0</v>
      </c>
      <c r="I80" s="1271">
        <f t="shared" si="45"/>
        <v>300</v>
      </c>
      <c r="J80" s="1102">
        <f t="shared" si="40"/>
        <v>300</v>
      </c>
      <c r="K80" s="1070">
        <f>SUM(K75:K79)</f>
        <v>0</v>
      </c>
      <c r="L80" s="635">
        <f t="shared" si="41"/>
        <v>0</v>
      </c>
      <c r="M80" s="1071">
        <f t="shared" ref="M80:S80" si="46">SUM(M75:M79)</f>
        <v>350</v>
      </c>
      <c r="N80" s="1169">
        <f t="shared" si="46"/>
        <v>0</v>
      </c>
      <c r="O80" s="1220">
        <f t="shared" si="46"/>
        <v>0</v>
      </c>
      <c r="P80" s="1220">
        <f t="shared" si="46"/>
        <v>0</v>
      </c>
      <c r="Q80" s="1220">
        <f t="shared" si="46"/>
        <v>0</v>
      </c>
      <c r="R80" s="1220">
        <f t="shared" si="46"/>
        <v>0</v>
      </c>
      <c r="S80" s="1220">
        <f t="shared" si="46"/>
        <v>350</v>
      </c>
      <c r="T80" s="1224">
        <f t="shared" si="42"/>
        <v>350</v>
      </c>
      <c r="U80" s="747">
        <f>SUM(U75:U79)</f>
        <v>0</v>
      </c>
      <c r="V80" s="747">
        <f>SUM(V75:V79)</f>
        <v>0</v>
      </c>
      <c r="W80" s="1020">
        <f t="shared" si="39"/>
        <v>1000</v>
      </c>
    </row>
    <row r="81" spans="1:23" ht="30.75" thickBot="1">
      <c r="A81" s="528" t="s">
        <v>59</v>
      </c>
      <c r="B81" s="1072">
        <f t="shared" ref="B81:I81" si="47">B71+B72+B74+B80</f>
        <v>0</v>
      </c>
      <c r="C81" s="551">
        <f t="shared" si="47"/>
        <v>0</v>
      </c>
      <c r="D81" s="551">
        <f t="shared" si="47"/>
        <v>0</v>
      </c>
      <c r="E81" s="551">
        <f t="shared" si="47"/>
        <v>0</v>
      </c>
      <c r="F81" s="835">
        <f t="shared" si="47"/>
        <v>0</v>
      </c>
      <c r="G81" s="835">
        <f t="shared" si="47"/>
        <v>0</v>
      </c>
      <c r="H81" s="835">
        <f t="shared" si="47"/>
        <v>0</v>
      </c>
      <c r="I81" s="1272">
        <f t="shared" si="47"/>
        <v>119065.44</v>
      </c>
      <c r="J81" s="1074">
        <f>SUM(J71:J79)</f>
        <v>119065.44</v>
      </c>
      <c r="K81" s="1075">
        <f>K71+K72+K74+K80</f>
        <v>0</v>
      </c>
      <c r="L81" s="574">
        <f>SUM(L71,L80)</f>
        <v>0</v>
      </c>
      <c r="M81" s="1076">
        <f>SUM(M71,M80)</f>
        <v>502191.44000000006</v>
      </c>
      <c r="N81" s="1170">
        <f>SUM(N71,N80)</f>
        <v>0</v>
      </c>
      <c r="O81" s="1227">
        <f>O71+O72+O74+O80</f>
        <v>0</v>
      </c>
      <c r="P81" s="1073">
        <f>P71+P72+P74+P80</f>
        <v>0</v>
      </c>
      <c r="Q81" s="1073">
        <f>Q71+Q72+Q74+Q80</f>
        <v>0</v>
      </c>
      <c r="R81" s="1073">
        <f>R71+R72+R74+R80</f>
        <v>0</v>
      </c>
      <c r="S81" s="1073">
        <f>S71+S72+S74+S80</f>
        <v>6304426.7200000007</v>
      </c>
      <c r="T81" s="1211">
        <f>SUM(T71:T80)-T79</f>
        <v>6304426.7200000007</v>
      </c>
      <c r="U81" s="748">
        <f>SUM(U71,U80)</f>
        <v>0</v>
      </c>
      <c r="V81" s="748">
        <f>SUM(V71,V80)</f>
        <v>0</v>
      </c>
      <c r="W81" s="25">
        <f t="shared" si="39"/>
        <v>6925683.6000000015</v>
      </c>
    </row>
    <row r="82" spans="1:23" ht="16.5" thickBot="1">
      <c r="A82" s="13" t="s">
        <v>60</v>
      </c>
      <c r="B82" s="1103">
        <f t="shared" ref="B82:V82" si="48">B40+B47+B63+B70+B81</f>
        <v>0</v>
      </c>
      <c r="C82" s="577">
        <f t="shared" si="48"/>
        <v>0</v>
      </c>
      <c r="D82" s="577">
        <f t="shared" si="48"/>
        <v>0</v>
      </c>
      <c r="E82" s="577">
        <f t="shared" si="48"/>
        <v>0</v>
      </c>
      <c r="F82" s="837">
        <f t="shared" si="48"/>
        <v>0</v>
      </c>
      <c r="G82" s="837">
        <f t="shared" si="48"/>
        <v>0</v>
      </c>
      <c r="H82" s="837">
        <f t="shared" si="48"/>
        <v>0</v>
      </c>
      <c r="I82" s="1275">
        <f t="shared" si="48"/>
        <v>608937.43999999994</v>
      </c>
      <c r="J82" s="1105">
        <f t="shared" si="48"/>
        <v>608937.43999999994</v>
      </c>
      <c r="K82" s="1106">
        <f t="shared" si="48"/>
        <v>2000000</v>
      </c>
      <c r="L82" s="633">
        <f t="shared" si="48"/>
        <v>2000000</v>
      </c>
      <c r="M82" s="1107">
        <f t="shared" si="48"/>
        <v>2360863.44</v>
      </c>
      <c r="N82" s="1182">
        <f t="shared" si="48"/>
        <v>0</v>
      </c>
      <c r="O82" s="1228">
        <f t="shared" si="48"/>
        <v>0</v>
      </c>
      <c r="P82" s="1104">
        <f t="shared" si="48"/>
        <v>0</v>
      </c>
      <c r="Q82" s="1104">
        <f t="shared" si="48"/>
        <v>0</v>
      </c>
      <c r="R82" s="1104">
        <f t="shared" si="48"/>
        <v>0</v>
      </c>
      <c r="S82" s="1104">
        <f t="shared" si="48"/>
        <v>19323248.719999999</v>
      </c>
      <c r="T82" s="1229">
        <f t="shared" si="48"/>
        <v>19323248.719999999</v>
      </c>
      <c r="U82" s="753">
        <f t="shared" si="48"/>
        <v>0</v>
      </c>
      <c r="V82" s="753">
        <f t="shared" si="48"/>
        <v>0</v>
      </c>
      <c r="W82" s="1108">
        <f t="shared" si="39"/>
        <v>24293049.600000001</v>
      </c>
    </row>
    <row r="83" spans="1:23" ht="30.75" thickBot="1">
      <c r="A83" s="580" t="s">
        <v>695</v>
      </c>
      <c r="B83" s="1109"/>
      <c r="C83" s="581"/>
      <c r="D83" s="581"/>
      <c r="E83" s="581"/>
      <c r="F83" s="838"/>
      <c r="G83" s="838"/>
      <c r="H83" s="838"/>
      <c r="I83" s="1276"/>
      <c r="J83" s="1110">
        <f>SUM(B83:H83)</f>
        <v>0</v>
      </c>
      <c r="K83" s="1111"/>
      <c r="L83" s="634"/>
      <c r="M83" s="1112"/>
      <c r="N83" s="1183"/>
      <c r="O83" s="1230"/>
      <c r="P83" s="1231"/>
      <c r="Q83" s="1231"/>
      <c r="R83" s="1231"/>
      <c r="S83" s="1231"/>
      <c r="T83" s="1232"/>
      <c r="U83" s="1113"/>
      <c r="V83" s="754"/>
      <c r="W83" s="25">
        <f t="shared" si="39"/>
        <v>0</v>
      </c>
    </row>
    <row r="84" spans="1:23" ht="15.75" thickBot="1">
      <c r="A84" s="528" t="s">
        <v>61</v>
      </c>
      <c r="B84" s="1072">
        <f>B83</f>
        <v>0</v>
      </c>
      <c r="C84" s="551">
        <f>C83</f>
        <v>0</v>
      </c>
      <c r="D84" s="551">
        <f>D83</f>
        <v>0</v>
      </c>
      <c r="E84" s="551"/>
      <c r="F84" s="835">
        <f>F83</f>
        <v>0</v>
      </c>
      <c r="G84" s="835"/>
      <c r="H84" s="835">
        <f>H83</f>
        <v>0</v>
      </c>
      <c r="I84" s="1272">
        <f>I83</f>
        <v>0</v>
      </c>
      <c r="J84" s="1074">
        <f>J83</f>
        <v>0</v>
      </c>
      <c r="K84" s="1075"/>
      <c r="L84" s="574">
        <f>L83</f>
        <v>0</v>
      </c>
      <c r="M84" s="1076">
        <f>M83</f>
        <v>0</v>
      </c>
      <c r="N84" s="1170">
        <f>N83</f>
        <v>0</v>
      </c>
      <c r="O84" s="1227"/>
      <c r="P84" s="1073"/>
      <c r="Q84" s="1073"/>
      <c r="R84" s="1073"/>
      <c r="S84" s="1073"/>
      <c r="T84" s="1211">
        <f>T83</f>
        <v>0</v>
      </c>
      <c r="U84" s="748">
        <f>U83</f>
        <v>0</v>
      </c>
      <c r="V84" s="748"/>
      <c r="W84" s="25">
        <f t="shared" si="39"/>
        <v>0</v>
      </c>
    </row>
    <row r="85" spans="1:23">
      <c r="A85" s="14" t="s">
        <v>62</v>
      </c>
      <c r="B85" s="1099"/>
      <c r="C85" s="573"/>
      <c r="D85" s="573"/>
      <c r="E85" s="573"/>
      <c r="F85" s="836"/>
      <c r="G85" s="836"/>
      <c r="H85" s="836"/>
      <c r="I85" s="1274"/>
      <c r="J85" s="1114">
        <f>SUM(B85:H85)</f>
        <v>0</v>
      </c>
      <c r="K85" s="1115"/>
      <c r="L85" s="635"/>
      <c r="M85" s="1116"/>
      <c r="N85" s="1184"/>
      <c r="O85" s="1233"/>
      <c r="P85" s="1234"/>
      <c r="Q85" s="1234"/>
      <c r="R85" s="1234"/>
      <c r="S85" s="1234"/>
      <c r="T85" s="1224"/>
      <c r="U85" s="755"/>
      <c r="V85" s="755"/>
      <c r="W85" s="25">
        <f t="shared" si="39"/>
        <v>0</v>
      </c>
    </row>
    <row r="86" spans="1:23">
      <c r="A86" s="11" t="s">
        <v>63</v>
      </c>
      <c r="B86" s="1117">
        <f>B85</f>
        <v>0</v>
      </c>
      <c r="C86" s="552">
        <f>C85</f>
        <v>0</v>
      </c>
      <c r="D86" s="552">
        <f>D85</f>
        <v>0</v>
      </c>
      <c r="E86" s="552"/>
      <c r="F86" s="839">
        <f>F85</f>
        <v>0</v>
      </c>
      <c r="G86" s="839"/>
      <c r="H86" s="839">
        <f>H85</f>
        <v>0</v>
      </c>
      <c r="I86" s="1277">
        <f>I85</f>
        <v>0</v>
      </c>
      <c r="J86" s="1119">
        <f>J85</f>
        <v>0</v>
      </c>
      <c r="K86" s="1120"/>
      <c r="L86" s="636">
        <f>L85</f>
        <v>0</v>
      </c>
      <c r="M86" s="1121">
        <f>M85</f>
        <v>0</v>
      </c>
      <c r="N86" s="1185">
        <f>N85</f>
        <v>0</v>
      </c>
      <c r="O86" s="1235"/>
      <c r="P86" s="1118"/>
      <c r="Q86" s="1118"/>
      <c r="R86" s="1118"/>
      <c r="S86" s="1118"/>
      <c r="T86" s="1236">
        <f>T85</f>
        <v>0</v>
      </c>
      <c r="U86" s="756"/>
      <c r="V86" s="756"/>
      <c r="W86" s="1019">
        <f t="shared" si="39"/>
        <v>0</v>
      </c>
    </row>
    <row r="87" spans="1:23" ht="30">
      <c r="A87" s="10" t="s">
        <v>64</v>
      </c>
      <c r="B87" s="1062"/>
      <c r="C87" s="549"/>
      <c r="D87" s="549"/>
      <c r="E87" s="549"/>
      <c r="F87" s="833"/>
      <c r="G87" s="833"/>
      <c r="H87" s="833"/>
      <c r="I87" s="1270"/>
      <c r="J87" s="1122">
        <f>SUM(B87:H87)</f>
        <v>0</v>
      </c>
      <c r="K87" s="1123"/>
      <c r="L87" s="27"/>
      <c r="M87" s="1124"/>
      <c r="N87" s="1186"/>
      <c r="O87" s="1237"/>
      <c r="P87" s="1238"/>
      <c r="Q87" s="1238"/>
      <c r="R87" s="1238"/>
      <c r="S87" s="1238"/>
      <c r="T87" s="1219"/>
      <c r="U87" s="757"/>
      <c r="V87" s="757"/>
      <c r="W87" s="1019">
        <f t="shared" si="39"/>
        <v>0</v>
      </c>
    </row>
    <row r="88" spans="1:23" ht="30">
      <c r="A88" s="11" t="s">
        <v>65</v>
      </c>
      <c r="B88" s="1117">
        <f>B87</f>
        <v>0</v>
      </c>
      <c r="C88" s="552">
        <f>C87</f>
        <v>0</v>
      </c>
      <c r="D88" s="552">
        <f>D87</f>
        <v>0</v>
      </c>
      <c r="E88" s="552"/>
      <c r="F88" s="839">
        <f>F87</f>
        <v>0</v>
      </c>
      <c r="G88" s="839"/>
      <c r="H88" s="839">
        <f>H87</f>
        <v>0</v>
      </c>
      <c r="I88" s="1277">
        <f>I87</f>
        <v>0</v>
      </c>
      <c r="J88" s="1119">
        <f>J87</f>
        <v>0</v>
      </c>
      <c r="K88" s="1120"/>
      <c r="L88" s="636">
        <f>L87</f>
        <v>0</v>
      </c>
      <c r="M88" s="1121">
        <f>M87</f>
        <v>0</v>
      </c>
      <c r="N88" s="1185">
        <f>N87</f>
        <v>0</v>
      </c>
      <c r="O88" s="1235"/>
      <c r="P88" s="1118"/>
      <c r="Q88" s="1118"/>
      <c r="R88" s="1118"/>
      <c r="S88" s="1118"/>
      <c r="T88" s="1236">
        <f>T87</f>
        <v>0</v>
      </c>
      <c r="U88" s="756"/>
      <c r="V88" s="756"/>
      <c r="W88" s="1019">
        <f t="shared" si="39"/>
        <v>0</v>
      </c>
    </row>
    <row r="89" spans="1:23">
      <c r="A89" s="10" t="s">
        <v>66</v>
      </c>
      <c r="B89" s="1062"/>
      <c r="C89" s="549"/>
      <c r="D89" s="549"/>
      <c r="E89" s="549"/>
      <c r="F89" s="833"/>
      <c r="G89" s="833"/>
      <c r="H89" s="833"/>
      <c r="I89" s="1270"/>
      <c r="J89" s="1122">
        <f>SUM(B89:H89)</f>
        <v>0</v>
      </c>
      <c r="K89" s="1123"/>
      <c r="L89" s="27"/>
      <c r="M89" s="1124"/>
      <c r="N89" s="1186"/>
      <c r="O89" s="1237"/>
      <c r="P89" s="1238"/>
      <c r="Q89" s="1238"/>
      <c r="R89" s="1238"/>
      <c r="S89" s="1238"/>
      <c r="T89" s="1219"/>
      <c r="U89" s="757"/>
      <c r="V89" s="757"/>
      <c r="W89" s="1019">
        <f t="shared" si="39"/>
        <v>0</v>
      </c>
    </row>
    <row r="90" spans="1:23">
      <c r="A90" s="11" t="s">
        <v>67</v>
      </c>
      <c r="B90" s="1117">
        <f>B89</f>
        <v>0</v>
      </c>
      <c r="C90" s="552">
        <f>C89</f>
        <v>0</v>
      </c>
      <c r="D90" s="552">
        <f>D89</f>
        <v>0</v>
      </c>
      <c r="E90" s="552"/>
      <c r="F90" s="839">
        <f>F89</f>
        <v>0</v>
      </c>
      <c r="G90" s="839"/>
      <c r="H90" s="839">
        <f>H89</f>
        <v>0</v>
      </c>
      <c r="I90" s="1277">
        <f>I89</f>
        <v>0</v>
      </c>
      <c r="J90" s="1119">
        <f>J89</f>
        <v>0</v>
      </c>
      <c r="K90" s="1120"/>
      <c r="L90" s="636">
        <f>L89</f>
        <v>0</v>
      </c>
      <c r="M90" s="1121">
        <f>M89</f>
        <v>0</v>
      </c>
      <c r="N90" s="1185">
        <f>N89</f>
        <v>0</v>
      </c>
      <c r="O90" s="1235"/>
      <c r="P90" s="1118"/>
      <c r="Q90" s="1118"/>
      <c r="R90" s="1118"/>
      <c r="S90" s="1118"/>
      <c r="T90" s="1236">
        <f>T89</f>
        <v>0</v>
      </c>
      <c r="U90" s="756"/>
      <c r="V90" s="756"/>
      <c r="W90" s="1019">
        <f t="shared" si="39"/>
        <v>0</v>
      </c>
    </row>
    <row r="91" spans="1:23" ht="30">
      <c r="A91" s="10" t="s">
        <v>68</v>
      </c>
      <c r="B91" s="1062"/>
      <c r="C91" s="549"/>
      <c r="D91" s="549"/>
      <c r="E91" s="549"/>
      <c r="F91" s="833"/>
      <c r="G91" s="833"/>
      <c r="H91" s="833"/>
      <c r="I91" s="1270"/>
      <c r="J91" s="1122">
        <f>SUM(B91:H91)</f>
        <v>0</v>
      </c>
      <c r="K91" s="1123"/>
      <c r="L91" s="27"/>
      <c r="M91" s="1101"/>
      <c r="N91" s="1181"/>
      <c r="O91" s="1237"/>
      <c r="P91" s="1238"/>
      <c r="Q91" s="1238"/>
      <c r="R91" s="1238"/>
      <c r="S91" s="1238"/>
      <c r="T91" s="1219"/>
      <c r="U91" s="751"/>
      <c r="V91" s="751"/>
      <c r="W91" s="1019">
        <f t="shared" si="39"/>
        <v>0</v>
      </c>
    </row>
    <row r="92" spans="1:23" ht="30">
      <c r="A92" s="11" t="s">
        <v>69</v>
      </c>
      <c r="B92" s="1117">
        <f>B91</f>
        <v>0</v>
      </c>
      <c r="C92" s="552">
        <f>C91</f>
        <v>0</v>
      </c>
      <c r="D92" s="552">
        <f>D91</f>
        <v>0</v>
      </c>
      <c r="E92" s="552"/>
      <c r="F92" s="839">
        <f>F91</f>
        <v>0</v>
      </c>
      <c r="G92" s="839"/>
      <c r="H92" s="839">
        <f>H91</f>
        <v>0</v>
      </c>
      <c r="I92" s="1277">
        <f>I91</f>
        <v>0</v>
      </c>
      <c r="J92" s="1119">
        <f>J91</f>
        <v>0</v>
      </c>
      <c r="K92" s="1120"/>
      <c r="L92" s="636">
        <f>L91</f>
        <v>0</v>
      </c>
      <c r="M92" s="1121">
        <f>M91</f>
        <v>0</v>
      </c>
      <c r="N92" s="1185">
        <f>N91</f>
        <v>0</v>
      </c>
      <c r="O92" s="1235"/>
      <c r="P92" s="1118"/>
      <c r="Q92" s="1118"/>
      <c r="R92" s="1118"/>
      <c r="S92" s="1118"/>
      <c r="T92" s="1236">
        <f>T91</f>
        <v>0</v>
      </c>
      <c r="U92" s="756">
        <f>U91</f>
        <v>0</v>
      </c>
      <c r="V92" s="756">
        <f>V91</f>
        <v>0</v>
      </c>
      <c r="W92" s="1019">
        <f t="shared" si="39"/>
        <v>0</v>
      </c>
    </row>
    <row r="93" spans="1:23">
      <c r="A93" s="10" t="s">
        <v>70</v>
      </c>
      <c r="B93" s="1062"/>
      <c r="C93" s="549"/>
      <c r="D93" s="549"/>
      <c r="E93" s="549"/>
      <c r="F93" s="833"/>
      <c r="G93" s="833"/>
      <c r="H93" s="833"/>
      <c r="I93" s="1270"/>
      <c r="J93" s="1122">
        <f>SUM(B93:H93)</f>
        <v>0</v>
      </c>
      <c r="K93" s="1123"/>
      <c r="L93" s="27"/>
      <c r="M93" s="1124"/>
      <c r="N93" s="1186"/>
      <c r="O93" s="1237"/>
      <c r="P93" s="1238"/>
      <c r="Q93" s="1238"/>
      <c r="R93" s="1238"/>
      <c r="S93" s="1238"/>
      <c r="T93" s="1219"/>
      <c r="U93" s="757"/>
      <c r="V93" s="757"/>
      <c r="W93" s="1019">
        <f t="shared" si="39"/>
        <v>0</v>
      </c>
    </row>
    <row r="94" spans="1:23" ht="60">
      <c r="A94" s="10" t="s">
        <v>71</v>
      </c>
      <c r="B94" s="1062"/>
      <c r="C94" s="549"/>
      <c r="D94" s="549"/>
      <c r="E94" s="549"/>
      <c r="F94" s="833"/>
      <c r="G94" s="833"/>
      <c r="H94" s="833"/>
      <c r="I94" s="1270"/>
      <c r="J94" s="1122">
        <f>SUM(B94:H94)</f>
        <v>0</v>
      </c>
      <c r="K94" s="1123"/>
      <c r="L94" s="27"/>
      <c r="M94" s="1124"/>
      <c r="N94" s="1186"/>
      <c r="O94" s="1237"/>
      <c r="P94" s="1238"/>
      <c r="Q94" s="1238"/>
      <c r="R94" s="1238"/>
      <c r="S94" s="1238"/>
      <c r="T94" s="1219"/>
      <c r="U94" s="757"/>
      <c r="V94" s="757"/>
      <c r="W94" s="1019">
        <f t="shared" si="39"/>
        <v>0</v>
      </c>
    </row>
    <row r="95" spans="1:23" ht="45">
      <c r="A95" s="10" t="s">
        <v>72</v>
      </c>
      <c r="B95" s="1062"/>
      <c r="C95" s="549"/>
      <c r="D95" s="549"/>
      <c r="E95" s="549"/>
      <c r="F95" s="833"/>
      <c r="G95" s="833"/>
      <c r="H95" s="833"/>
      <c r="I95" s="1270"/>
      <c r="J95" s="1122">
        <f>SUM(B95:H95)</f>
        <v>0</v>
      </c>
      <c r="K95" s="1123"/>
      <c r="L95" s="27"/>
      <c r="M95" s="1124"/>
      <c r="N95" s="1186"/>
      <c r="O95" s="1237"/>
      <c r="P95" s="1238"/>
      <c r="Q95" s="1238"/>
      <c r="R95" s="1238"/>
      <c r="S95" s="1238"/>
      <c r="T95" s="1219"/>
      <c r="U95" s="757"/>
      <c r="V95" s="757"/>
      <c r="W95" s="1019">
        <f t="shared" si="39"/>
        <v>0</v>
      </c>
    </row>
    <row r="96" spans="1:23" ht="15.75" thickBot="1">
      <c r="A96" s="12" t="s">
        <v>73</v>
      </c>
      <c r="B96" s="1125">
        <f>SUM(B93:B95)</f>
        <v>0</v>
      </c>
      <c r="C96" s="583">
        <f>SUM(C93:C95)</f>
        <v>0</v>
      </c>
      <c r="D96" s="583">
        <f>SUM(D93:D95)</f>
        <v>0</v>
      </c>
      <c r="E96" s="583"/>
      <c r="F96" s="841">
        <f>SUM(F93:F95)</f>
        <v>0</v>
      </c>
      <c r="G96" s="841"/>
      <c r="H96" s="841">
        <f>SUM(H93:H95)</f>
        <v>0</v>
      </c>
      <c r="I96" s="1278">
        <f>SUM(I93:I95)</f>
        <v>0</v>
      </c>
      <c r="J96" s="1127">
        <f>SUM(J93:J95)</f>
        <v>0</v>
      </c>
      <c r="K96" s="1128"/>
      <c r="L96" s="639">
        <f>SUM(L93:L95)</f>
        <v>0</v>
      </c>
      <c r="M96" s="1129">
        <f>SUM(M93:M95)</f>
        <v>0</v>
      </c>
      <c r="N96" s="1187">
        <f>SUM(N93:N95)</f>
        <v>0</v>
      </c>
      <c r="O96" s="1239"/>
      <c r="P96" s="1126"/>
      <c r="Q96" s="1126"/>
      <c r="R96" s="1126"/>
      <c r="S96" s="1126"/>
      <c r="T96" s="1240">
        <f>SUM(T93:T95)</f>
        <v>0</v>
      </c>
      <c r="U96" s="769">
        <f>SUM(U93:U95)</f>
        <v>0</v>
      </c>
      <c r="V96" s="769">
        <f>SUM(V93:V95)</f>
        <v>0</v>
      </c>
      <c r="W96" s="1020">
        <f t="shared" si="39"/>
        <v>0</v>
      </c>
    </row>
    <row r="97" spans="1:23" ht="16.5" thickBot="1">
      <c r="A97" s="13" t="s">
        <v>74</v>
      </c>
      <c r="B97" s="1103">
        <f>B84+B86+B88+B90+B92+B96</f>
        <v>0</v>
      </c>
      <c r="C97" s="577">
        <f>C84+C86+C88+C90+C92+C96</f>
        <v>0</v>
      </c>
      <c r="D97" s="577">
        <f>D84+D86+D88+D90+D92+D96</f>
        <v>0</v>
      </c>
      <c r="E97" s="577"/>
      <c r="F97" s="837">
        <f>F84+F86+F88+F90+F92+F96</f>
        <v>0</v>
      </c>
      <c r="G97" s="837"/>
      <c r="H97" s="837">
        <f>H84+H86+H88+H90+H92+H96</f>
        <v>0</v>
      </c>
      <c r="I97" s="1275">
        <f>I84+I86+I88+I90+I92+I96</f>
        <v>0</v>
      </c>
      <c r="J97" s="1105">
        <f>J84+J86+J88+J90+J92+J96</f>
        <v>0</v>
      </c>
      <c r="K97" s="1106"/>
      <c r="L97" s="633">
        <f>L84+L86+L88+L90+L92+L96</f>
        <v>0</v>
      </c>
      <c r="M97" s="1107">
        <f>M84+M86+M88+M90+M92+M96</f>
        <v>0</v>
      </c>
      <c r="N97" s="1182">
        <f>N84+N86+N88+N90+N92+N96</f>
        <v>0</v>
      </c>
      <c r="O97" s="1241"/>
      <c r="P97" s="1104"/>
      <c r="Q97" s="1104"/>
      <c r="R97" s="1104"/>
      <c r="S97" s="1104"/>
      <c r="T97" s="1229">
        <f>T84+T86+T88+T90+T92+T96</f>
        <v>0</v>
      </c>
      <c r="U97" s="753">
        <f>U84+U86+U88+U90+U92+U96</f>
        <v>0</v>
      </c>
      <c r="V97" s="753">
        <f>V84+V86+V88+V90+V92+V96</f>
        <v>0</v>
      </c>
      <c r="W97" s="25">
        <f t="shared" si="39"/>
        <v>0</v>
      </c>
    </row>
    <row r="98" spans="1:23" ht="30">
      <c r="A98" s="16" t="s">
        <v>75</v>
      </c>
      <c r="B98" s="1130"/>
      <c r="C98" s="554"/>
      <c r="D98" s="554"/>
      <c r="E98" s="554"/>
      <c r="F98" s="840"/>
      <c r="G98" s="840"/>
      <c r="H98" s="840"/>
      <c r="I98" s="1279"/>
      <c r="J98" s="1131">
        <f>SUM(B98:H98)</f>
        <v>0</v>
      </c>
      <c r="K98" s="1132"/>
      <c r="L98" s="638"/>
      <c r="M98" s="1133"/>
      <c r="N98" s="1188"/>
      <c r="O98" s="1242"/>
      <c r="P98" s="1243"/>
      <c r="Q98" s="1243"/>
      <c r="R98" s="1243"/>
      <c r="S98" s="1243"/>
      <c r="T98" s="1244"/>
      <c r="U98" s="759"/>
      <c r="V98" s="759"/>
      <c r="W98" s="25">
        <f t="shared" si="39"/>
        <v>0</v>
      </c>
    </row>
    <row r="99" spans="1:23" ht="30">
      <c r="A99" s="10" t="s">
        <v>76</v>
      </c>
      <c r="B99" s="1062"/>
      <c r="C99" s="549"/>
      <c r="D99" s="549"/>
      <c r="E99" s="549"/>
      <c r="F99" s="833"/>
      <c r="G99" s="833"/>
      <c r="H99" s="833"/>
      <c r="I99" s="1270"/>
      <c r="J99" s="1122"/>
      <c r="K99" s="1123"/>
      <c r="L99" s="27"/>
      <c r="M99" s="1124"/>
      <c r="N99" s="1186"/>
      <c r="O99" s="1237"/>
      <c r="P99" s="1238"/>
      <c r="Q99" s="1238"/>
      <c r="R99" s="1238"/>
      <c r="S99" s="1238"/>
      <c r="T99" s="1219"/>
      <c r="U99" s="757"/>
      <c r="V99" s="757"/>
      <c r="W99" s="1019">
        <f t="shared" si="39"/>
        <v>0</v>
      </c>
    </row>
    <row r="100" spans="1:23" ht="45">
      <c r="A100" s="10" t="s">
        <v>77</v>
      </c>
      <c r="B100" s="1062"/>
      <c r="C100" s="549"/>
      <c r="D100" s="549"/>
      <c r="E100" s="549"/>
      <c r="F100" s="833"/>
      <c r="G100" s="833"/>
      <c r="H100" s="833"/>
      <c r="I100" s="1270"/>
      <c r="J100" s="1122">
        <f>SUM(B100:H100)</f>
        <v>0</v>
      </c>
      <c r="K100" s="1123"/>
      <c r="L100" s="27"/>
      <c r="M100" s="1124"/>
      <c r="N100" s="1186"/>
      <c r="O100" s="1237"/>
      <c r="P100" s="1238"/>
      <c r="Q100" s="1238"/>
      <c r="R100" s="1238"/>
      <c r="S100" s="1238"/>
      <c r="T100" s="1219"/>
      <c r="U100" s="757"/>
      <c r="V100" s="757"/>
      <c r="W100" s="1019">
        <f t="shared" si="39"/>
        <v>0</v>
      </c>
    </row>
    <row r="101" spans="1:23" ht="30">
      <c r="A101" s="11" t="s">
        <v>78</v>
      </c>
      <c r="B101" s="1117">
        <f>SUM(B98:B100)</f>
        <v>0</v>
      </c>
      <c r="C101" s="552">
        <f>SUM(C98:C100)</f>
        <v>0</v>
      </c>
      <c r="D101" s="552">
        <f>SUM(D98:D100)</f>
        <v>0</v>
      </c>
      <c r="E101" s="552"/>
      <c r="F101" s="839">
        <f>SUM(F98:F100)</f>
        <v>0</v>
      </c>
      <c r="G101" s="839"/>
      <c r="H101" s="839">
        <f>SUM(H98:H100)</f>
        <v>0</v>
      </c>
      <c r="I101" s="1277">
        <f>SUM(I98:I100)</f>
        <v>0</v>
      </c>
      <c r="J101" s="1119">
        <f>SUM(J98:J100)</f>
        <v>0</v>
      </c>
      <c r="K101" s="1120"/>
      <c r="L101" s="636">
        <f>SUM(L98:L100)</f>
        <v>0</v>
      </c>
      <c r="M101" s="1121">
        <f>SUM(M98:M100)</f>
        <v>0</v>
      </c>
      <c r="N101" s="1185">
        <f>SUM(N98:N100)</f>
        <v>0</v>
      </c>
      <c r="O101" s="1235"/>
      <c r="P101" s="1118"/>
      <c r="Q101" s="1118"/>
      <c r="R101" s="1118"/>
      <c r="S101" s="1118"/>
      <c r="T101" s="1236">
        <f>SUM(T98:T100)</f>
        <v>0</v>
      </c>
      <c r="U101" s="756">
        <f>SUM(U98:U100)</f>
        <v>0</v>
      </c>
      <c r="V101" s="756">
        <f>SUM(V98:V100)</f>
        <v>0</v>
      </c>
      <c r="W101" s="1019">
        <f t="shared" si="39"/>
        <v>0</v>
      </c>
    </row>
    <row r="102" spans="1:23" ht="45">
      <c r="A102" s="11" t="s">
        <v>668</v>
      </c>
      <c r="B102" s="1117"/>
      <c r="C102" s="552"/>
      <c r="D102" s="552"/>
      <c r="E102" s="552"/>
      <c r="F102" s="839"/>
      <c r="G102" s="839"/>
      <c r="H102" s="839"/>
      <c r="I102" s="1277"/>
      <c r="J102" s="1122">
        <f>SUM(B102:H102)</f>
        <v>0</v>
      </c>
      <c r="K102" s="1123"/>
      <c r="L102" s="636"/>
      <c r="M102" s="1134"/>
      <c r="N102" s="1189"/>
      <c r="O102" s="1237"/>
      <c r="P102" s="1238"/>
      <c r="Q102" s="1238"/>
      <c r="R102" s="1238"/>
      <c r="S102" s="1238"/>
      <c r="T102" s="1236"/>
      <c r="U102" s="760"/>
      <c r="V102" s="760"/>
      <c r="W102" s="1019">
        <f t="shared" si="39"/>
        <v>0</v>
      </c>
    </row>
    <row r="103" spans="1:23" ht="30">
      <c r="A103" s="11" t="s">
        <v>669</v>
      </c>
      <c r="B103" s="1117"/>
      <c r="C103" s="552"/>
      <c r="D103" s="552"/>
      <c r="E103" s="552"/>
      <c r="F103" s="839"/>
      <c r="G103" s="839"/>
      <c r="H103" s="839"/>
      <c r="I103" s="1277"/>
      <c r="J103" s="1122">
        <f>SUM(B103:H103)</f>
        <v>0</v>
      </c>
      <c r="K103" s="1123"/>
      <c r="L103" s="636"/>
      <c r="M103" s="1134"/>
      <c r="N103" s="1189"/>
      <c r="O103" s="1237"/>
      <c r="P103" s="1238"/>
      <c r="Q103" s="1238"/>
      <c r="R103" s="1238"/>
      <c r="S103" s="1238"/>
      <c r="T103" s="1236"/>
      <c r="U103" s="760"/>
      <c r="V103" s="760"/>
      <c r="W103" s="1019">
        <f t="shared" si="39"/>
        <v>0</v>
      </c>
    </row>
    <row r="104" spans="1:23" ht="15.75" thickBot="1">
      <c r="A104" s="12" t="s">
        <v>670</v>
      </c>
      <c r="B104" s="1125"/>
      <c r="C104" s="583"/>
      <c r="D104" s="583"/>
      <c r="E104" s="583"/>
      <c r="F104" s="841"/>
      <c r="G104" s="841"/>
      <c r="H104" s="841"/>
      <c r="I104" s="1278"/>
      <c r="J104" s="1135">
        <f>SUM(B104:H104)</f>
        <v>0</v>
      </c>
      <c r="K104" s="1136"/>
      <c r="L104" s="639"/>
      <c r="M104" s="1137"/>
      <c r="N104" s="1190"/>
      <c r="O104" s="1245"/>
      <c r="P104" s="1246"/>
      <c r="Q104" s="1246"/>
      <c r="R104" s="1246"/>
      <c r="S104" s="1246"/>
      <c r="T104" s="1240"/>
      <c r="U104" s="761"/>
      <c r="V104" s="761"/>
      <c r="W104" s="1020">
        <f t="shared" si="39"/>
        <v>0</v>
      </c>
    </row>
    <row r="105" spans="1:23" ht="16.5" thickBot="1">
      <c r="A105" s="13" t="s">
        <v>79</v>
      </c>
      <c r="B105" s="1103">
        <f>B101+B102+B103+B104</f>
        <v>0</v>
      </c>
      <c r="C105" s="577">
        <f>C101+C102+C103+C104</f>
        <v>0</v>
      </c>
      <c r="D105" s="577">
        <f>D101+D102+D103+D104</f>
        <v>0</v>
      </c>
      <c r="E105" s="577"/>
      <c r="F105" s="837">
        <f>F101+F102+F103+F104</f>
        <v>0</v>
      </c>
      <c r="G105" s="837"/>
      <c r="H105" s="837">
        <f>H101+H102+H103+H104</f>
        <v>0</v>
      </c>
      <c r="I105" s="1275">
        <f>I101+I102+I103+I104</f>
        <v>0</v>
      </c>
      <c r="J105" s="1105">
        <f>J101+J102+J103+J104</f>
        <v>0</v>
      </c>
      <c r="K105" s="1106"/>
      <c r="L105" s="633">
        <f>L101+L102+L103+L104</f>
        <v>0</v>
      </c>
      <c r="M105" s="1107">
        <f>M101+M102+M103+M104</f>
        <v>0</v>
      </c>
      <c r="N105" s="1182">
        <f>N101+N102+N103+N104</f>
        <v>0</v>
      </c>
      <c r="O105" s="1228"/>
      <c r="P105" s="1104"/>
      <c r="Q105" s="1104"/>
      <c r="R105" s="1104"/>
      <c r="S105" s="1104"/>
      <c r="T105" s="1229">
        <f>T101+T102+T103+T104</f>
        <v>0</v>
      </c>
      <c r="U105" s="753">
        <f>U101+U102+U103+U104</f>
        <v>0</v>
      </c>
      <c r="V105" s="753">
        <f>V101+V102+V103+V104</f>
        <v>0</v>
      </c>
      <c r="W105" s="25">
        <f t="shared" si="39"/>
        <v>0</v>
      </c>
    </row>
    <row r="106" spans="1:23">
      <c r="A106" s="584" t="s">
        <v>80</v>
      </c>
      <c r="B106" s="1138"/>
      <c r="C106" s="585"/>
      <c r="D106" s="585"/>
      <c r="E106" s="585"/>
      <c r="F106" s="842"/>
      <c r="G106" s="842"/>
      <c r="H106" s="842"/>
      <c r="I106" s="1280"/>
      <c r="J106" s="1114">
        <f>SUM(B106:H106)</f>
        <v>0</v>
      </c>
      <c r="K106" s="1115"/>
      <c r="L106" s="640"/>
      <c r="M106" s="1139">
        <v>50000</v>
      </c>
      <c r="N106" s="1191"/>
      <c r="O106" s="1233"/>
      <c r="P106" s="1234"/>
      <c r="Q106" s="1234"/>
      <c r="R106" s="1234"/>
      <c r="S106" s="1234">
        <v>50000</v>
      </c>
      <c r="T106" s="1247">
        <f>S106</f>
        <v>50000</v>
      </c>
      <c r="U106" s="762"/>
      <c r="V106" s="762"/>
      <c r="W106" s="25">
        <f t="shared" si="39"/>
        <v>100000</v>
      </c>
    </row>
    <row r="107" spans="1:23">
      <c r="A107" s="11" t="s">
        <v>759</v>
      </c>
      <c r="B107" s="1117"/>
      <c r="C107" s="552"/>
      <c r="D107" s="552"/>
      <c r="E107" s="552"/>
      <c r="F107" s="839"/>
      <c r="G107" s="839"/>
      <c r="H107" s="839"/>
      <c r="I107" s="1277"/>
      <c r="J107" s="1122">
        <f>SUM(B107:H107)</f>
        <v>0</v>
      </c>
      <c r="K107" s="1123"/>
      <c r="L107" s="636"/>
      <c r="M107" s="1134">
        <v>74803</v>
      </c>
      <c r="N107" s="1189"/>
      <c r="O107" s="1237"/>
      <c r="P107" s="1238"/>
      <c r="Q107" s="1238"/>
      <c r="R107" s="1238"/>
      <c r="S107" s="1238"/>
      <c r="T107" s="1236">
        <f>S107</f>
        <v>0</v>
      </c>
      <c r="U107" s="760"/>
      <c r="V107" s="760"/>
      <c r="W107" s="1019">
        <f t="shared" si="39"/>
        <v>74803</v>
      </c>
    </row>
    <row r="108" spans="1:23">
      <c r="A108" s="11" t="s">
        <v>172</v>
      </c>
      <c r="B108" s="1117"/>
      <c r="C108" s="552"/>
      <c r="D108" s="552"/>
      <c r="E108" s="552"/>
      <c r="F108" s="839"/>
      <c r="G108" s="839"/>
      <c r="H108" s="839"/>
      <c r="I108" s="1277"/>
      <c r="J108" s="1122">
        <f>SUM(B108:H108)</f>
        <v>0</v>
      </c>
      <c r="K108" s="1123"/>
      <c r="L108" s="636"/>
      <c r="M108" s="1134">
        <v>150000</v>
      </c>
      <c r="N108" s="1189"/>
      <c r="O108" s="1237"/>
      <c r="P108" s="1238"/>
      <c r="Q108" s="1238"/>
      <c r="R108" s="1238"/>
      <c r="S108" s="1238">
        <v>150000</v>
      </c>
      <c r="T108" s="1236">
        <f>S108</f>
        <v>150000</v>
      </c>
      <c r="U108" s="760"/>
      <c r="V108" s="760"/>
      <c r="W108" s="1019">
        <f t="shared" si="39"/>
        <v>300000</v>
      </c>
    </row>
    <row r="109" spans="1:23" ht="60">
      <c r="A109" s="11" t="s">
        <v>760</v>
      </c>
      <c r="B109" s="1117"/>
      <c r="C109" s="552"/>
      <c r="D109" s="552"/>
      <c r="E109" s="552"/>
      <c r="F109" s="839"/>
      <c r="G109" s="839"/>
      <c r="H109" s="839"/>
      <c r="I109" s="1277"/>
      <c r="J109" s="1122">
        <f>SUM(B109:H109)</f>
        <v>0</v>
      </c>
      <c r="K109" s="1123"/>
      <c r="L109" s="636"/>
      <c r="M109" s="1134">
        <f>150000+379528+346457+86614+141732+227559</f>
        <v>1331890</v>
      </c>
      <c r="N109" s="1189"/>
      <c r="O109" s="1237"/>
      <c r="P109" s="1238"/>
      <c r="Q109" s="1238"/>
      <c r="R109" s="1238"/>
      <c r="S109" s="1238">
        <v>300000</v>
      </c>
      <c r="T109" s="1236">
        <f>S109</f>
        <v>300000</v>
      </c>
      <c r="U109" s="760"/>
      <c r="V109" s="760"/>
      <c r="W109" s="1019">
        <f t="shared" si="39"/>
        <v>1631890</v>
      </c>
    </row>
    <row r="110" spans="1:23" ht="15.75" thickBot="1">
      <c r="A110" s="12" t="s">
        <v>81</v>
      </c>
      <c r="B110" s="1125"/>
      <c r="C110" s="583"/>
      <c r="D110" s="583"/>
      <c r="E110" s="583"/>
      <c r="F110" s="841"/>
      <c r="G110" s="841"/>
      <c r="H110" s="841"/>
      <c r="I110" s="1278"/>
      <c r="J110" s="1135">
        <f>SUM(B110:H110)</f>
        <v>0</v>
      </c>
      <c r="K110" s="1136"/>
      <c r="L110" s="639"/>
      <c r="M110" s="1137">
        <f>(M106+M107+M108+M109)*27%</f>
        <v>433807.11000000004</v>
      </c>
      <c r="N110" s="1190"/>
      <c r="O110" s="1245"/>
      <c r="P110" s="1246"/>
      <c r="Q110" s="1246"/>
      <c r="R110" s="1246"/>
      <c r="S110" s="1246">
        <f>(S106+S107+S108+S109)*27%</f>
        <v>135000</v>
      </c>
      <c r="T110" s="1236">
        <f>S110</f>
        <v>135000</v>
      </c>
      <c r="U110" s="761"/>
      <c r="V110" s="761"/>
      <c r="W110" s="1020">
        <f t="shared" si="39"/>
        <v>568807.1100000001</v>
      </c>
    </row>
    <row r="111" spans="1:23" ht="16.5" thickBot="1">
      <c r="A111" s="13" t="s">
        <v>82</v>
      </c>
      <c r="B111" s="1103">
        <f>SUM(B106:B110)</f>
        <v>0</v>
      </c>
      <c r="C111" s="577">
        <f>SUM(C106:C110)</f>
        <v>0</v>
      </c>
      <c r="D111" s="577">
        <f>SUM(D106:D110)</f>
        <v>0</v>
      </c>
      <c r="E111" s="577"/>
      <c r="F111" s="837">
        <f>SUM(F106:F110)</f>
        <v>0</v>
      </c>
      <c r="G111" s="837"/>
      <c r="H111" s="837">
        <f>SUM(H106:H110)</f>
        <v>0</v>
      </c>
      <c r="I111" s="1275">
        <f>SUM(I106:I110)</f>
        <v>0</v>
      </c>
      <c r="J111" s="1105">
        <f>SUM(J106:J110)</f>
        <v>0</v>
      </c>
      <c r="K111" s="1106"/>
      <c r="L111" s="633">
        <f>SUM(L106:L110)</f>
        <v>0</v>
      </c>
      <c r="M111" s="1107">
        <f>SUM(M106:M110)</f>
        <v>2040500.11</v>
      </c>
      <c r="N111" s="1182">
        <f>SUM(N106:N110)</f>
        <v>0</v>
      </c>
      <c r="O111" s="1228"/>
      <c r="P111" s="1104"/>
      <c r="Q111" s="1104"/>
      <c r="R111" s="1104"/>
      <c r="S111" s="1104">
        <f>SUM(S106:S110)</f>
        <v>635000</v>
      </c>
      <c r="T111" s="1229">
        <f>SUM(T106:T110)</f>
        <v>635000</v>
      </c>
      <c r="U111" s="753">
        <f>SUM(U106:U110)</f>
        <v>0</v>
      </c>
      <c r="V111" s="753">
        <f>SUM(V106:V110)</f>
        <v>0</v>
      </c>
      <c r="W111" s="1140">
        <f t="shared" si="39"/>
        <v>2675500.1100000003</v>
      </c>
    </row>
    <row r="112" spans="1:23">
      <c r="A112" s="584" t="s">
        <v>83</v>
      </c>
      <c r="B112" s="1138"/>
      <c r="C112" s="585"/>
      <c r="D112" s="585"/>
      <c r="E112" s="585"/>
      <c r="F112" s="842"/>
      <c r="G112" s="842"/>
      <c r="H112" s="842"/>
      <c r="I112" s="1280"/>
      <c r="J112" s="1114">
        <f>SUM(B112:H112)</f>
        <v>0</v>
      </c>
      <c r="K112" s="1115"/>
      <c r="L112" s="640"/>
      <c r="M112" s="1139"/>
      <c r="N112" s="1191"/>
      <c r="O112" s="1233"/>
      <c r="P112" s="1234"/>
      <c r="Q112" s="1234"/>
      <c r="R112" s="1234"/>
      <c r="S112" s="1234"/>
      <c r="T112" s="1247">
        <f>SUM(O112:S112)</f>
        <v>0</v>
      </c>
      <c r="U112" s="762"/>
      <c r="V112" s="762"/>
      <c r="W112" s="25">
        <f t="shared" si="39"/>
        <v>0</v>
      </c>
    </row>
    <row r="113" spans="1:23">
      <c r="A113" s="11" t="s">
        <v>84</v>
      </c>
      <c r="B113" s="1117"/>
      <c r="C113" s="552"/>
      <c r="D113" s="552"/>
      <c r="E113" s="552"/>
      <c r="F113" s="839"/>
      <c r="G113" s="839"/>
      <c r="H113" s="839"/>
      <c r="I113" s="1277"/>
      <c r="J113" s="1122">
        <f>SUM(B113:H113)</f>
        <v>0</v>
      </c>
      <c r="K113" s="1123"/>
      <c r="L113" s="636"/>
      <c r="M113" s="1134"/>
      <c r="N113" s="1189"/>
      <c r="O113" s="1237"/>
      <c r="P113" s="1238"/>
      <c r="Q113" s="1238"/>
      <c r="R113" s="1238"/>
      <c r="S113" s="1238"/>
      <c r="T113" s="1247">
        <f>SUM(O113:S113)</f>
        <v>0</v>
      </c>
      <c r="U113" s="760"/>
      <c r="V113" s="760"/>
      <c r="W113" s="1019">
        <f t="shared" si="39"/>
        <v>0</v>
      </c>
    </row>
    <row r="114" spans="1:23">
      <c r="A114" s="11" t="s">
        <v>85</v>
      </c>
      <c r="B114" s="1117"/>
      <c r="C114" s="552"/>
      <c r="D114" s="552"/>
      <c r="E114" s="552"/>
      <c r="F114" s="839"/>
      <c r="G114" s="839"/>
      <c r="H114" s="839"/>
      <c r="I114" s="1277"/>
      <c r="J114" s="1122">
        <f>SUM(B114:H114)</f>
        <v>0</v>
      </c>
      <c r="K114" s="1123"/>
      <c r="L114" s="636"/>
      <c r="M114" s="1134"/>
      <c r="N114" s="1189"/>
      <c r="O114" s="1237"/>
      <c r="P114" s="1238"/>
      <c r="Q114" s="1238"/>
      <c r="R114" s="1238"/>
      <c r="S114" s="1238"/>
      <c r="T114" s="1247">
        <f>SUM(O114:S114)</f>
        <v>0</v>
      </c>
      <c r="U114" s="760"/>
      <c r="V114" s="760"/>
      <c r="W114" s="1019">
        <f t="shared" si="39"/>
        <v>0</v>
      </c>
    </row>
    <row r="115" spans="1:23" ht="15.75" thickBot="1">
      <c r="A115" s="12" t="s">
        <v>86</v>
      </c>
      <c r="B115" s="1125"/>
      <c r="C115" s="583"/>
      <c r="D115" s="583"/>
      <c r="E115" s="583"/>
      <c r="F115" s="841"/>
      <c r="G115" s="841"/>
      <c r="H115" s="841"/>
      <c r="I115" s="1278"/>
      <c r="J115" s="1135">
        <f>SUM(B115:H115)</f>
        <v>0</v>
      </c>
      <c r="K115" s="1136"/>
      <c r="L115" s="639"/>
      <c r="M115" s="1137"/>
      <c r="N115" s="1190"/>
      <c r="O115" s="1245"/>
      <c r="P115" s="1246"/>
      <c r="Q115" s="1246"/>
      <c r="R115" s="1246"/>
      <c r="S115" s="1246"/>
      <c r="T115" s="1247">
        <f>SUM(O115:S115)</f>
        <v>0</v>
      </c>
      <c r="U115" s="761"/>
      <c r="V115" s="761"/>
      <c r="W115" s="1020">
        <f t="shared" si="39"/>
        <v>0</v>
      </c>
    </row>
    <row r="116" spans="1:23" ht="16.5" thickBot="1">
      <c r="A116" s="13" t="s">
        <v>87</v>
      </c>
      <c r="B116" s="1103">
        <f>SUM(B112:B115)</f>
        <v>0</v>
      </c>
      <c r="C116" s="577">
        <f>SUM(C112:C115)</f>
        <v>0</v>
      </c>
      <c r="D116" s="577">
        <f>SUM(D112:D115)</f>
        <v>0</v>
      </c>
      <c r="E116" s="577"/>
      <c r="F116" s="837">
        <f>SUM(F112:F115)</f>
        <v>0</v>
      </c>
      <c r="G116" s="837"/>
      <c r="H116" s="837">
        <f>SUM(H112:H115)</f>
        <v>0</v>
      </c>
      <c r="I116" s="1275">
        <f>SUM(I112:I115)</f>
        <v>0</v>
      </c>
      <c r="J116" s="1105">
        <f>SUM(J112:J115)</f>
        <v>0</v>
      </c>
      <c r="K116" s="1106"/>
      <c r="L116" s="633">
        <f>SUM(L112:L115)</f>
        <v>0</v>
      </c>
      <c r="M116" s="1107">
        <f>SUM(M112:M115)</f>
        <v>0</v>
      </c>
      <c r="N116" s="1182">
        <f>SUM(N112:N115)</f>
        <v>0</v>
      </c>
      <c r="O116" s="1228"/>
      <c r="P116" s="1104"/>
      <c r="Q116" s="1104"/>
      <c r="R116" s="1104"/>
      <c r="S116" s="1104"/>
      <c r="T116" s="1229">
        <f>SUM(T112:T115)</f>
        <v>0</v>
      </c>
      <c r="U116" s="753">
        <f>SUM(U112:U115)</f>
        <v>0</v>
      </c>
      <c r="V116" s="753">
        <f>SUM(V112:V115)</f>
        <v>0</v>
      </c>
      <c r="W116" s="1140">
        <f t="shared" si="39"/>
        <v>0</v>
      </c>
    </row>
    <row r="117" spans="1:23" ht="30.75" thickBot="1">
      <c r="A117" s="528" t="s">
        <v>88</v>
      </c>
      <c r="B117" s="1072"/>
      <c r="C117" s="551"/>
      <c r="D117" s="551"/>
      <c r="E117" s="551"/>
      <c r="F117" s="835"/>
      <c r="G117" s="835"/>
      <c r="H117" s="835"/>
      <c r="I117" s="1272"/>
      <c r="J117" s="1047">
        <f>SUM(B117:H117)</f>
        <v>0</v>
      </c>
      <c r="K117" s="1048"/>
      <c r="L117" s="574"/>
      <c r="M117" s="1049"/>
      <c r="N117" s="1165"/>
      <c r="O117" s="1248"/>
      <c r="P117" s="1210"/>
      <c r="Q117" s="1210"/>
      <c r="R117" s="1210"/>
      <c r="S117" s="1210"/>
      <c r="T117" s="1211"/>
      <c r="U117" s="744"/>
      <c r="V117" s="744"/>
      <c r="W117" s="25">
        <f t="shared" si="39"/>
        <v>0</v>
      </c>
    </row>
    <row r="118" spans="1:23" ht="30.75" thickBot="1">
      <c r="A118" s="528" t="s">
        <v>89</v>
      </c>
      <c r="B118" s="1072"/>
      <c r="C118" s="551"/>
      <c r="D118" s="551"/>
      <c r="E118" s="551"/>
      <c r="F118" s="835"/>
      <c r="G118" s="835"/>
      <c r="H118" s="835"/>
      <c r="I118" s="1272"/>
      <c r="J118" s="1047">
        <f>SUM(B118:H118)</f>
        <v>0</v>
      </c>
      <c r="K118" s="1048"/>
      <c r="L118" s="574"/>
      <c r="M118" s="1049"/>
      <c r="N118" s="1165"/>
      <c r="O118" s="1248"/>
      <c r="P118" s="1210"/>
      <c r="Q118" s="1210"/>
      <c r="R118" s="1210"/>
      <c r="S118" s="1210"/>
      <c r="T118" s="1211"/>
      <c r="U118" s="744"/>
      <c r="V118" s="744"/>
      <c r="W118" s="25">
        <f t="shared" si="39"/>
        <v>0</v>
      </c>
    </row>
    <row r="119" spans="1:23" ht="16.5" thickBot="1">
      <c r="A119" s="13" t="s">
        <v>90</v>
      </c>
      <c r="B119" s="1103">
        <f>SUM(B117:B118)</f>
        <v>0</v>
      </c>
      <c r="C119" s="577">
        <f>SUM(C117:C118)</f>
        <v>0</v>
      </c>
      <c r="D119" s="577">
        <f>SUM(D117:D118)</f>
        <v>0</v>
      </c>
      <c r="E119" s="577"/>
      <c r="F119" s="837">
        <f>SUM(F117:F118)</f>
        <v>0</v>
      </c>
      <c r="G119" s="837"/>
      <c r="H119" s="837">
        <f>SUM(H117:H118)</f>
        <v>0</v>
      </c>
      <c r="I119" s="1275">
        <f>SUM(I117:I118)</f>
        <v>0</v>
      </c>
      <c r="J119" s="1105">
        <f>SUM(J117:J118)</f>
        <v>0</v>
      </c>
      <c r="K119" s="1106"/>
      <c r="L119" s="633">
        <f>SUM(L117:L118)</f>
        <v>0</v>
      </c>
      <c r="M119" s="1107">
        <f>SUM(M117:M118)</f>
        <v>0</v>
      </c>
      <c r="N119" s="1182">
        <f>SUM(N117:N118)</f>
        <v>0</v>
      </c>
      <c r="O119" s="1228"/>
      <c r="P119" s="1104"/>
      <c r="Q119" s="1104"/>
      <c r="R119" s="1104"/>
      <c r="S119" s="1104"/>
      <c r="T119" s="1229">
        <f>SUM(T117:T118)</f>
        <v>0</v>
      </c>
      <c r="U119" s="753">
        <f>SUM(U117:U118)</f>
        <v>0</v>
      </c>
      <c r="V119" s="753">
        <f>SUM(V117:V118)</f>
        <v>0</v>
      </c>
      <c r="W119" s="25">
        <f t="shared" si="39"/>
        <v>0</v>
      </c>
    </row>
    <row r="120" spans="1:23" ht="30.75" thickBot="1">
      <c r="A120" s="591" t="s">
        <v>91</v>
      </c>
      <c r="B120" s="1530"/>
      <c r="C120" s="624"/>
      <c r="D120" s="624"/>
      <c r="E120" s="624"/>
      <c r="F120" s="845"/>
      <c r="G120" s="845"/>
      <c r="H120" s="845"/>
      <c r="I120" s="1283"/>
      <c r="J120" s="1047">
        <f>SUM(B120:H120)</f>
        <v>0</v>
      </c>
      <c r="K120" s="1048"/>
      <c r="L120" s="643"/>
      <c r="M120" s="1049"/>
      <c r="N120" s="1165"/>
      <c r="O120" s="1248"/>
      <c r="P120" s="1210"/>
      <c r="Q120" s="1210"/>
      <c r="R120" s="1210"/>
      <c r="S120" s="1210"/>
      <c r="T120" s="1252"/>
      <c r="U120" s="744"/>
      <c r="V120" s="744"/>
      <c r="W120" s="25">
        <f t="shared" si="39"/>
        <v>0</v>
      </c>
    </row>
    <row r="121" spans="1:23" ht="30.75" thickBot="1">
      <c r="A121" s="586" t="s">
        <v>92</v>
      </c>
      <c r="B121" s="1141">
        <f>B120</f>
        <v>0</v>
      </c>
      <c r="C121" s="622">
        <f>C120</f>
        <v>0</v>
      </c>
      <c r="D121" s="622">
        <f>D120</f>
        <v>0</v>
      </c>
      <c r="E121" s="622"/>
      <c r="F121" s="843">
        <f>F120</f>
        <v>0</v>
      </c>
      <c r="G121" s="843"/>
      <c r="H121" s="843">
        <f>H120</f>
        <v>0</v>
      </c>
      <c r="I121" s="1281">
        <f>I120</f>
        <v>0</v>
      </c>
      <c r="J121" s="1143">
        <f>J120</f>
        <v>0</v>
      </c>
      <c r="K121" s="1144"/>
      <c r="L121" s="641">
        <f>L120</f>
        <v>0</v>
      </c>
      <c r="M121" s="1145">
        <f>M120</f>
        <v>0</v>
      </c>
      <c r="N121" s="1192">
        <f>N120</f>
        <v>0</v>
      </c>
      <c r="O121" s="1249"/>
      <c r="P121" s="1142"/>
      <c r="Q121" s="1142"/>
      <c r="R121" s="1142"/>
      <c r="S121" s="1142"/>
      <c r="T121" s="1250">
        <f>T120</f>
        <v>0</v>
      </c>
      <c r="U121" s="763">
        <f>U120</f>
        <v>0</v>
      </c>
      <c r="V121" s="763">
        <f>V120</f>
        <v>0</v>
      </c>
      <c r="W121" s="25">
        <f t="shared" si="39"/>
        <v>0</v>
      </c>
    </row>
    <row r="122" spans="1:23" ht="30.75" thickBot="1">
      <c r="A122" s="586" t="s">
        <v>93</v>
      </c>
      <c r="B122" s="1141"/>
      <c r="C122" s="622"/>
      <c r="D122" s="622"/>
      <c r="E122" s="622"/>
      <c r="F122" s="843"/>
      <c r="G122" s="843"/>
      <c r="H122" s="843"/>
      <c r="I122" s="1281"/>
      <c r="J122" s="1047">
        <f>SUM(B122:H122)</f>
        <v>0</v>
      </c>
      <c r="K122" s="1048"/>
      <c r="L122" s="641"/>
      <c r="M122" s="1146"/>
      <c r="N122" s="1193"/>
      <c r="O122" s="1248"/>
      <c r="P122" s="1210"/>
      <c r="Q122" s="1210"/>
      <c r="R122" s="1210"/>
      <c r="S122" s="1210"/>
      <c r="T122" s="1250"/>
      <c r="U122" s="764"/>
      <c r="V122" s="764"/>
      <c r="W122" s="25">
        <f t="shared" si="39"/>
        <v>0</v>
      </c>
    </row>
    <row r="123" spans="1:23" ht="15.75" thickBot="1">
      <c r="A123" s="586" t="s">
        <v>94</v>
      </c>
      <c r="B123" s="1141"/>
      <c r="C123" s="622"/>
      <c r="D123" s="622"/>
      <c r="E123" s="622"/>
      <c r="F123" s="843"/>
      <c r="G123" s="843"/>
      <c r="H123" s="843"/>
      <c r="I123" s="1281"/>
      <c r="J123" s="1047">
        <f>SUM(B123:H123)</f>
        <v>0</v>
      </c>
      <c r="K123" s="1048"/>
      <c r="L123" s="641"/>
      <c r="M123" s="1147"/>
      <c r="N123" s="1194"/>
      <c r="O123" s="1248"/>
      <c r="P123" s="1210"/>
      <c r="Q123" s="1210"/>
      <c r="R123" s="1210"/>
      <c r="S123" s="1210"/>
      <c r="T123" s="1250"/>
      <c r="U123" s="765"/>
      <c r="V123" s="765"/>
      <c r="W123" s="25">
        <f t="shared" si="39"/>
        <v>0</v>
      </c>
    </row>
    <row r="124" spans="1:23" ht="15.75" thickBot="1">
      <c r="A124" s="528" t="s">
        <v>95</v>
      </c>
      <c r="B124" s="1072">
        <f>B121+B122+B123</f>
        <v>0</v>
      </c>
      <c r="C124" s="551">
        <f>C121+C122+C123</f>
        <v>0</v>
      </c>
      <c r="D124" s="551">
        <f>D121+D122+D123</f>
        <v>0</v>
      </c>
      <c r="E124" s="551"/>
      <c r="F124" s="835">
        <f>F121+F122+F123</f>
        <v>0</v>
      </c>
      <c r="G124" s="835"/>
      <c r="H124" s="835">
        <f>H121+H122+H123</f>
        <v>0</v>
      </c>
      <c r="I124" s="1272">
        <f>I121+I122+I123</f>
        <v>0</v>
      </c>
      <c r="J124" s="1074">
        <f>J121+J122+J123</f>
        <v>0</v>
      </c>
      <c r="K124" s="1075"/>
      <c r="L124" s="574">
        <f>L121+L122+L123</f>
        <v>0</v>
      </c>
      <c r="M124" s="1076">
        <f>M121+M122+M123</f>
        <v>0</v>
      </c>
      <c r="N124" s="1170">
        <f>N121+N122+N123</f>
        <v>0</v>
      </c>
      <c r="O124" s="1227"/>
      <c r="P124" s="1073"/>
      <c r="Q124" s="1073"/>
      <c r="R124" s="1073"/>
      <c r="S124" s="1073"/>
      <c r="T124" s="1211">
        <f>T121+T122+T123</f>
        <v>0</v>
      </c>
      <c r="U124" s="748">
        <f>U121+U122+U123</f>
        <v>0</v>
      </c>
      <c r="V124" s="748">
        <f>V121+V122+V123</f>
        <v>0</v>
      </c>
      <c r="W124" s="25">
        <f t="shared" si="39"/>
        <v>0</v>
      </c>
    </row>
    <row r="125" spans="1:23" ht="16.5" thickBot="1">
      <c r="A125" s="13" t="s">
        <v>96</v>
      </c>
      <c r="B125" s="1103">
        <f>B124</f>
        <v>0</v>
      </c>
      <c r="C125" s="577">
        <f>C124</f>
        <v>0</v>
      </c>
      <c r="D125" s="577">
        <f>D124</f>
        <v>0</v>
      </c>
      <c r="E125" s="577"/>
      <c r="F125" s="837">
        <f>F124</f>
        <v>0</v>
      </c>
      <c r="G125" s="837"/>
      <c r="H125" s="837">
        <f>H124</f>
        <v>0</v>
      </c>
      <c r="I125" s="1275">
        <f>I124</f>
        <v>0</v>
      </c>
      <c r="J125" s="1105">
        <f>J124</f>
        <v>0</v>
      </c>
      <c r="K125" s="1106"/>
      <c r="L125" s="633">
        <f>L124</f>
        <v>0</v>
      </c>
      <c r="M125" s="1107">
        <f>M124</f>
        <v>0</v>
      </c>
      <c r="N125" s="1182">
        <f>N124</f>
        <v>0</v>
      </c>
      <c r="O125" s="1228"/>
      <c r="P125" s="1104"/>
      <c r="Q125" s="1104"/>
      <c r="R125" s="1104"/>
      <c r="S125" s="1104"/>
      <c r="T125" s="1229">
        <f>T124</f>
        <v>0</v>
      </c>
      <c r="U125" s="753">
        <f>U124</f>
        <v>0</v>
      </c>
      <c r="V125" s="753">
        <f>V124</f>
        <v>0</v>
      </c>
      <c r="W125" s="25">
        <f t="shared" si="39"/>
        <v>0</v>
      </c>
    </row>
    <row r="126" spans="1:23" ht="19.5" thickBot="1">
      <c r="A126" s="17" t="s">
        <v>97</v>
      </c>
      <c r="B126" s="1148">
        <f t="shared" ref="B126:V126" si="49">B18+B26+B82+B97+B105+B111+B116+B119+B125</f>
        <v>3606498</v>
      </c>
      <c r="C126" s="18">
        <f t="shared" si="49"/>
        <v>5270209.875</v>
      </c>
      <c r="D126" s="18">
        <f t="shared" si="49"/>
        <v>4871663.9749999996</v>
      </c>
      <c r="E126" s="18">
        <f t="shared" si="49"/>
        <v>6128361</v>
      </c>
      <c r="F126" s="18">
        <f t="shared" si="49"/>
        <v>3236138</v>
      </c>
      <c r="G126" s="18">
        <f t="shared" si="49"/>
        <v>3236138</v>
      </c>
      <c r="H126" s="18">
        <f t="shared" si="49"/>
        <v>0</v>
      </c>
      <c r="I126" s="18">
        <f t="shared" si="49"/>
        <v>2367090.19</v>
      </c>
      <c r="J126" s="19">
        <f t="shared" si="49"/>
        <v>28716099.040000003</v>
      </c>
      <c r="K126" s="1148">
        <f t="shared" si="49"/>
        <v>2000000</v>
      </c>
      <c r="L126" s="1531">
        <f t="shared" si="49"/>
        <v>2000000</v>
      </c>
      <c r="M126" s="1532">
        <f t="shared" si="49"/>
        <v>4401363.55</v>
      </c>
      <c r="N126" s="20">
        <f t="shared" si="49"/>
        <v>0</v>
      </c>
      <c r="O126" s="649">
        <f t="shared" si="49"/>
        <v>3207080.25</v>
      </c>
      <c r="P126" s="18">
        <f t="shared" si="49"/>
        <v>2951130</v>
      </c>
      <c r="Q126" s="18">
        <f t="shared" si="49"/>
        <v>525225</v>
      </c>
      <c r="R126" s="18">
        <f t="shared" si="49"/>
        <v>2227095</v>
      </c>
      <c r="S126" s="18">
        <f t="shared" si="49"/>
        <v>20753863.719999999</v>
      </c>
      <c r="T126" s="18">
        <f t="shared" si="49"/>
        <v>29664393.969999999</v>
      </c>
      <c r="U126" s="18">
        <f t="shared" si="49"/>
        <v>0</v>
      </c>
      <c r="V126" s="18">
        <f t="shared" si="49"/>
        <v>0</v>
      </c>
      <c r="W126" s="1315">
        <f t="shared" si="39"/>
        <v>64781856.560000002</v>
      </c>
    </row>
    <row r="127" spans="1:23">
      <c r="A127" s="1733" t="s">
        <v>673</v>
      </c>
      <c r="B127" s="1786" t="s">
        <v>661</v>
      </c>
      <c r="C127" s="1787"/>
      <c r="D127" s="1787"/>
      <c r="E127" s="1787"/>
      <c r="F127" s="1787"/>
      <c r="G127" s="1787"/>
      <c r="H127" s="1787"/>
      <c r="I127" s="1787"/>
      <c r="J127" s="1788"/>
      <c r="K127" s="1749" t="s">
        <v>662</v>
      </c>
      <c r="L127" s="1750"/>
      <c r="M127" s="1789" t="s">
        <v>663</v>
      </c>
      <c r="N127" s="1790" t="s">
        <v>664</v>
      </c>
      <c r="O127" s="1791" t="s">
        <v>676</v>
      </c>
      <c r="P127" s="1791"/>
      <c r="Q127" s="1791"/>
      <c r="R127" s="1791"/>
      <c r="S127" s="1791"/>
      <c r="T127" s="1792"/>
      <c r="U127" s="1722"/>
      <c r="V127" s="1722"/>
      <c r="W127" s="1748" t="s">
        <v>12</v>
      </c>
    </row>
    <row r="128" spans="1:23" ht="45.75" thickBot="1">
      <c r="A128" s="1715"/>
      <c r="B128" s="1030" t="s">
        <v>677</v>
      </c>
      <c r="C128" s="613" t="s">
        <v>678</v>
      </c>
      <c r="D128" s="613" t="s">
        <v>679</v>
      </c>
      <c r="E128" s="613" t="s">
        <v>685</v>
      </c>
      <c r="F128" s="823" t="s">
        <v>680</v>
      </c>
      <c r="G128" s="823" t="s">
        <v>681</v>
      </c>
      <c r="H128" s="823"/>
      <c r="I128" s="1260" t="s">
        <v>665</v>
      </c>
      <c r="J128" s="1031" t="s">
        <v>12</v>
      </c>
      <c r="K128" s="1032"/>
      <c r="L128" s="625" t="s">
        <v>12</v>
      </c>
      <c r="M128" s="1759"/>
      <c r="N128" s="1761"/>
      <c r="O128" s="1199" t="s">
        <v>682</v>
      </c>
      <c r="P128" s="1200" t="s">
        <v>683</v>
      </c>
      <c r="Q128" s="1200" t="s">
        <v>684</v>
      </c>
      <c r="R128" s="1200" t="s">
        <v>686</v>
      </c>
      <c r="S128" s="1200"/>
      <c r="T128" s="1200" t="s">
        <v>12</v>
      </c>
      <c r="U128" s="1723"/>
      <c r="V128" s="1723"/>
      <c r="W128" s="1719"/>
    </row>
    <row r="129" spans="1:23" ht="30">
      <c r="A129" s="14" t="s">
        <v>98</v>
      </c>
      <c r="B129" s="1099"/>
      <c r="C129" s="573"/>
      <c r="D129" s="573"/>
      <c r="E129" s="573"/>
      <c r="F129" s="836"/>
      <c r="G129" s="836"/>
      <c r="H129" s="836"/>
      <c r="I129" s="1274"/>
      <c r="J129" s="1114">
        <f t="shared" ref="J129:J134" si="50">SUM(B129:H129)</f>
        <v>0</v>
      </c>
      <c r="K129" s="1115"/>
      <c r="L129" s="635"/>
      <c r="M129" s="1116"/>
      <c r="N129" s="1184"/>
      <c r="O129" s="1233"/>
      <c r="P129" s="1234"/>
      <c r="Q129" s="1234"/>
      <c r="R129" s="1234"/>
      <c r="S129" s="1234"/>
      <c r="T129" s="1224"/>
      <c r="U129" s="755"/>
      <c r="V129" s="755"/>
      <c r="W129" s="25">
        <f t="shared" si="39"/>
        <v>0</v>
      </c>
    </row>
    <row r="130" spans="1:23" ht="30">
      <c r="A130" s="10" t="s">
        <v>99</v>
      </c>
      <c r="B130" s="1062"/>
      <c r="C130" s="549"/>
      <c r="D130" s="549"/>
      <c r="E130" s="549"/>
      <c r="F130" s="833"/>
      <c r="G130" s="833"/>
      <c r="H130" s="833"/>
      <c r="I130" s="1270"/>
      <c r="J130" s="1122">
        <f t="shared" si="50"/>
        <v>0</v>
      </c>
      <c r="K130" s="1123"/>
      <c r="L130" s="27"/>
      <c r="M130" s="1124"/>
      <c r="N130" s="1186"/>
      <c r="O130" s="1237"/>
      <c r="P130" s="1238"/>
      <c r="Q130" s="1238"/>
      <c r="R130" s="1238"/>
      <c r="S130" s="1238"/>
      <c r="T130" s="1219"/>
      <c r="U130" s="757"/>
      <c r="V130" s="757"/>
      <c r="W130" s="1019">
        <f t="shared" si="39"/>
        <v>0</v>
      </c>
    </row>
    <row r="131" spans="1:23" ht="60">
      <c r="A131" s="10" t="s">
        <v>100</v>
      </c>
      <c r="B131" s="1062"/>
      <c r="C131" s="549"/>
      <c r="D131" s="549"/>
      <c r="E131" s="549"/>
      <c r="F131" s="833"/>
      <c r="G131" s="833"/>
      <c r="H131" s="833"/>
      <c r="I131" s="1270"/>
      <c r="J131" s="1122">
        <f t="shared" si="50"/>
        <v>0</v>
      </c>
      <c r="K131" s="1123"/>
      <c r="L131" s="27"/>
      <c r="M131" s="1124"/>
      <c r="N131" s="1186"/>
      <c r="O131" s="1237"/>
      <c r="P131" s="1238"/>
      <c r="Q131" s="1238"/>
      <c r="R131" s="1238"/>
      <c r="S131" s="1238"/>
      <c r="T131" s="1219"/>
      <c r="U131" s="757"/>
      <c r="V131" s="757"/>
      <c r="W131" s="1019">
        <f t="shared" si="39"/>
        <v>0</v>
      </c>
    </row>
    <row r="132" spans="1:23" ht="30">
      <c r="A132" s="10" t="s">
        <v>101</v>
      </c>
      <c r="B132" s="1062"/>
      <c r="C132" s="549"/>
      <c r="D132" s="549"/>
      <c r="E132" s="549"/>
      <c r="F132" s="833"/>
      <c r="G132" s="833"/>
      <c r="H132" s="833"/>
      <c r="I132" s="1270"/>
      <c r="J132" s="1122">
        <f t="shared" si="50"/>
        <v>0</v>
      </c>
      <c r="K132" s="1123"/>
      <c r="L132" s="27"/>
      <c r="M132" s="1124"/>
      <c r="N132" s="1186"/>
      <c r="O132" s="1237"/>
      <c r="P132" s="1238"/>
      <c r="Q132" s="1238"/>
      <c r="R132" s="1238"/>
      <c r="S132" s="1238"/>
      <c r="T132" s="1219"/>
      <c r="U132" s="757"/>
      <c r="V132" s="757"/>
      <c r="W132" s="1019">
        <f t="shared" si="39"/>
        <v>0</v>
      </c>
    </row>
    <row r="133" spans="1:23" ht="30">
      <c r="A133" s="10" t="s">
        <v>102</v>
      </c>
      <c r="B133" s="1062"/>
      <c r="C133" s="549"/>
      <c r="D133" s="549"/>
      <c r="E133" s="549"/>
      <c r="F133" s="833"/>
      <c r="G133" s="833"/>
      <c r="H133" s="833"/>
      <c r="I133" s="1270"/>
      <c r="J133" s="1122">
        <f t="shared" si="50"/>
        <v>0</v>
      </c>
      <c r="K133" s="1123"/>
      <c r="L133" s="27"/>
      <c r="M133" s="1124"/>
      <c r="N133" s="1186"/>
      <c r="O133" s="1237"/>
      <c r="P133" s="1238"/>
      <c r="Q133" s="1238"/>
      <c r="R133" s="1238"/>
      <c r="S133" s="1238"/>
      <c r="T133" s="1219"/>
      <c r="U133" s="757"/>
      <c r="V133" s="757"/>
      <c r="W133" s="1019">
        <f t="shared" si="39"/>
        <v>0</v>
      </c>
    </row>
    <row r="134" spans="1:23" ht="30">
      <c r="A134" s="10" t="s">
        <v>103</v>
      </c>
      <c r="B134" s="1062"/>
      <c r="C134" s="549"/>
      <c r="D134" s="549"/>
      <c r="E134" s="549"/>
      <c r="F134" s="833"/>
      <c r="G134" s="833"/>
      <c r="H134" s="833"/>
      <c r="I134" s="1270"/>
      <c r="J134" s="1122">
        <f t="shared" si="50"/>
        <v>0</v>
      </c>
      <c r="K134" s="1123"/>
      <c r="L134" s="27"/>
      <c r="M134" s="1124"/>
      <c r="N134" s="1186"/>
      <c r="O134" s="1237"/>
      <c r="P134" s="1238"/>
      <c r="Q134" s="1238"/>
      <c r="R134" s="1238"/>
      <c r="S134" s="1238"/>
      <c r="T134" s="1219"/>
      <c r="U134" s="757"/>
      <c r="V134" s="757"/>
      <c r="W134" s="1019">
        <f t="shared" si="39"/>
        <v>0</v>
      </c>
    </row>
    <row r="135" spans="1:23" ht="30">
      <c r="A135" s="11" t="s">
        <v>104</v>
      </c>
      <c r="B135" s="1117">
        <f>SUM(B129:B134)</f>
        <v>0</v>
      </c>
      <c r="C135" s="552">
        <f>SUM(C129:C134)</f>
        <v>0</v>
      </c>
      <c r="D135" s="552">
        <f>SUM(D129:D134)</f>
        <v>0</v>
      </c>
      <c r="E135" s="552"/>
      <c r="F135" s="839">
        <f>SUM(F129:F134)</f>
        <v>0</v>
      </c>
      <c r="G135" s="839"/>
      <c r="H135" s="839">
        <f>SUM(H129:H134)</f>
        <v>0</v>
      </c>
      <c r="I135" s="1277">
        <f>SUM(I129:I134)</f>
        <v>0</v>
      </c>
      <c r="J135" s="1119">
        <f>SUM(J129:J134)</f>
        <v>0</v>
      </c>
      <c r="K135" s="1120"/>
      <c r="L135" s="636">
        <f>SUM(L129:L134)</f>
        <v>0</v>
      </c>
      <c r="M135" s="1121">
        <f>SUM(M129:M134)</f>
        <v>0</v>
      </c>
      <c r="N135" s="1185">
        <f>SUM(N129:N134)</f>
        <v>0</v>
      </c>
      <c r="O135" s="1235"/>
      <c r="P135" s="1118"/>
      <c r="Q135" s="1118"/>
      <c r="R135" s="1118"/>
      <c r="S135" s="1118"/>
      <c r="T135" s="1236">
        <f>SUM(T129:T134)</f>
        <v>0</v>
      </c>
      <c r="U135" s="756">
        <f>SUM(U129:U134)</f>
        <v>0</v>
      </c>
      <c r="V135" s="756">
        <f>SUM(V129:V134)</f>
        <v>0</v>
      </c>
      <c r="W135" s="1019">
        <f t="shared" si="39"/>
        <v>0</v>
      </c>
    </row>
    <row r="136" spans="1:23" ht="45">
      <c r="A136" s="10" t="s">
        <v>105</v>
      </c>
      <c r="B136" s="1062"/>
      <c r="C136" s="549"/>
      <c r="D136" s="549"/>
      <c r="E136" s="549"/>
      <c r="F136" s="833"/>
      <c r="G136" s="833"/>
      <c r="H136" s="833"/>
      <c r="I136" s="1270"/>
      <c r="J136" s="1122">
        <f>SUM(B136:H136)</f>
        <v>0</v>
      </c>
      <c r="K136" s="1123"/>
      <c r="L136" s="27"/>
      <c r="M136" s="1124"/>
      <c r="N136" s="1186"/>
      <c r="O136" s="1237"/>
      <c r="P136" s="1238"/>
      <c r="Q136" s="1238"/>
      <c r="R136" s="1238"/>
      <c r="S136" s="1238"/>
      <c r="T136" s="1219"/>
      <c r="U136" s="757"/>
      <c r="V136" s="757"/>
      <c r="W136" s="1019">
        <f t="shared" si="39"/>
        <v>0</v>
      </c>
    </row>
    <row r="137" spans="1:23">
      <c r="A137" s="11" t="s">
        <v>106</v>
      </c>
      <c r="B137" s="1117">
        <f>B136</f>
        <v>0</v>
      </c>
      <c r="C137" s="552">
        <f>C136</f>
        <v>0</v>
      </c>
      <c r="D137" s="552">
        <f>D136</f>
        <v>0</v>
      </c>
      <c r="E137" s="552"/>
      <c r="F137" s="839">
        <f>F136</f>
        <v>0</v>
      </c>
      <c r="G137" s="839"/>
      <c r="H137" s="839">
        <f>H136</f>
        <v>0</v>
      </c>
      <c r="I137" s="1277">
        <f>I136</f>
        <v>0</v>
      </c>
      <c r="J137" s="1119">
        <f>J136</f>
        <v>0</v>
      </c>
      <c r="K137" s="1120"/>
      <c r="L137" s="636">
        <f>L136</f>
        <v>0</v>
      </c>
      <c r="M137" s="1121">
        <f>M136</f>
        <v>0</v>
      </c>
      <c r="N137" s="1185">
        <f>N136</f>
        <v>0</v>
      </c>
      <c r="O137" s="1235"/>
      <c r="P137" s="1118"/>
      <c r="Q137" s="1118"/>
      <c r="R137" s="1118"/>
      <c r="S137" s="1118"/>
      <c r="T137" s="1236">
        <f>T136</f>
        <v>0</v>
      </c>
      <c r="U137" s="756">
        <f>U136</f>
        <v>0</v>
      </c>
      <c r="V137" s="756">
        <f>V136</f>
        <v>0</v>
      </c>
      <c r="W137" s="1019">
        <f t="shared" ref="W137:W191" si="51">J137+L137+N137+U137+V137+T137+M137</f>
        <v>0</v>
      </c>
    </row>
    <row r="138" spans="1:23" ht="30.75" thickBot="1">
      <c r="A138" s="12" t="s">
        <v>107</v>
      </c>
      <c r="B138" s="1125"/>
      <c r="C138" s="583"/>
      <c r="D138" s="583"/>
      <c r="E138" s="583"/>
      <c r="F138" s="841"/>
      <c r="G138" s="841"/>
      <c r="H138" s="841"/>
      <c r="I138" s="1278"/>
      <c r="J138" s="1135">
        <f>SUM(B138:H138)</f>
        <v>0</v>
      </c>
      <c r="K138" s="1136"/>
      <c r="L138" s="639"/>
      <c r="M138" s="1137"/>
      <c r="N138" s="1190"/>
      <c r="O138" s="1245"/>
      <c r="P138" s="1246"/>
      <c r="Q138" s="1246"/>
      <c r="R138" s="1246"/>
      <c r="S138" s="1246"/>
      <c r="T138" s="1240"/>
      <c r="U138" s="761"/>
      <c r="V138" s="761"/>
      <c r="W138" s="1020">
        <f t="shared" si="51"/>
        <v>0</v>
      </c>
    </row>
    <row r="139" spans="1:23" ht="32.25" thickBot="1">
      <c r="A139" s="13" t="s">
        <v>108</v>
      </c>
      <c r="B139" s="1103">
        <f>B135+B137+B138</f>
        <v>0</v>
      </c>
      <c r="C139" s="577">
        <f>C135+C137+C138</f>
        <v>0</v>
      </c>
      <c r="D139" s="577">
        <f>D135+D137+D138</f>
        <v>0</v>
      </c>
      <c r="E139" s="577"/>
      <c r="F139" s="837">
        <f>F135+F137+F138</f>
        <v>0</v>
      </c>
      <c r="G139" s="837"/>
      <c r="H139" s="837">
        <f>H135+H137+H138</f>
        <v>0</v>
      </c>
      <c r="I139" s="1275">
        <f>I135+I137+I138</f>
        <v>0</v>
      </c>
      <c r="J139" s="1105">
        <f>J135+J137+J138</f>
        <v>0</v>
      </c>
      <c r="K139" s="1106"/>
      <c r="L139" s="633">
        <f>L135+L137+L138</f>
        <v>0</v>
      </c>
      <c r="M139" s="1107">
        <f>M135+M137+M138</f>
        <v>0</v>
      </c>
      <c r="N139" s="1182">
        <f>N135+N137+N138</f>
        <v>0</v>
      </c>
      <c r="O139" s="1228"/>
      <c r="P139" s="1104"/>
      <c r="Q139" s="1104"/>
      <c r="R139" s="1104"/>
      <c r="S139" s="1104"/>
      <c r="T139" s="1229">
        <f>T135+T137+T138</f>
        <v>0</v>
      </c>
      <c r="U139" s="753">
        <f>U135+U137+U138</f>
        <v>0</v>
      </c>
      <c r="V139" s="753">
        <f>V135+V137+V138</f>
        <v>0</v>
      </c>
      <c r="W139" s="25">
        <f t="shared" si="51"/>
        <v>0</v>
      </c>
    </row>
    <row r="140" spans="1:23" ht="30">
      <c r="A140" s="16" t="s">
        <v>109</v>
      </c>
      <c r="B140" s="1130"/>
      <c r="C140" s="554"/>
      <c r="D140" s="554"/>
      <c r="E140" s="554"/>
      <c r="F140" s="840"/>
      <c r="G140" s="840"/>
      <c r="H140" s="840"/>
      <c r="I140" s="1279"/>
      <c r="J140" s="1131">
        <f>SUM(B140:H140)</f>
        <v>0</v>
      </c>
      <c r="K140" s="1132"/>
      <c r="L140" s="638"/>
      <c r="M140" s="1133"/>
      <c r="N140" s="1188"/>
      <c r="O140" s="1286"/>
      <c r="P140" s="1243"/>
      <c r="Q140" s="1243"/>
      <c r="R140" s="1243"/>
      <c r="S140" s="1243"/>
      <c r="T140" s="1244"/>
      <c r="U140" s="759"/>
      <c r="V140" s="759"/>
      <c r="W140" s="25">
        <f t="shared" si="51"/>
        <v>0</v>
      </c>
    </row>
    <row r="141" spans="1:23">
      <c r="A141" s="10" t="s">
        <v>110</v>
      </c>
      <c r="B141" s="1062"/>
      <c r="C141" s="549"/>
      <c r="D141" s="549"/>
      <c r="E141" s="549"/>
      <c r="F141" s="833"/>
      <c r="G141" s="833"/>
      <c r="H141" s="833"/>
      <c r="I141" s="1270"/>
      <c r="J141" s="1122">
        <f>SUM(B141:H141)</f>
        <v>0</v>
      </c>
      <c r="K141" s="1123"/>
      <c r="L141" s="27"/>
      <c r="M141" s="1124"/>
      <c r="N141" s="1186"/>
      <c r="O141" s="1287"/>
      <c r="P141" s="1238"/>
      <c r="Q141" s="1238"/>
      <c r="R141" s="1238"/>
      <c r="S141" s="1238"/>
      <c r="T141" s="1219"/>
      <c r="U141" s="757"/>
      <c r="V141" s="757"/>
      <c r="W141" s="1019">
        <f t="shared" si="51"/>
        <v>0</v>
      </c>
    </row>
    <row r="142" spans="1:23" ht="30.75" thickBot="1">
      <c r="A142" s="1288" t="s">
        <v>111</v>
      </c>
      <c r="B142" s="1534"/>
      <c r="C142" s="1498"/>
      <c r="D142" s="1498"/>
      <c r="E142" s="1498"/>
      <c r="F142" s="1289"/>
      <c r="G142" s="1289"/>
      <c r="H142" s="1289"/>
      <c r="I142" s="1290"/>
      <c r="J142" s="1291">
        <f>SUM(B142:H142)</f>
        <v>0</v>
      </c>
      <c r="K142" s="1292"/>
      <c r="L142" s="1293"/>
      <c r="M142" s="1294"/>
      <c r="N142" s="1295"/>
      <c r="O142" s="1296"/>
      <c r="P142" s="1297"/>
      <c r="Q142" s="1297"/>
      <c r="R142" s="1297"/>
      <c r="S142" s="1297"/>
      <c r="T142" s="1298"/>
      <c r="U142" s="1299"/>
      <c r="V142" s="1299"/>
      <c r="W142" s="1020">
        <f t="shared" si="51"/>
        <v>0</v>
      </c>
    </row>
    <row r="143" spans="1:23" ht="30.75" thickBot="1">
      <c r="A143" s="528" t="s">
        <v>112</v>
      </c>
      <c r="B143" s="1072">
        <f>SUM(B140:B142)</f>
        <v>0</v>
      </c>
      <c r="C143" s="551">
        <f>SUM(C140:C142)</f>
        <v>0</v>
      </c>
      <c r="D143" s="551">
        <f>SUM(D140:D142)</f>
        <v>0</v>
      </c>
      <c r="E143" s="551"/>
      <c r="F143" s="835">
        <f>SUM(F140:F142)</f>
        <v>0</v>
      </c>
      <c r="G143" s="835"/>
      <c r="H143" s="835">
        <f>SUM(H140:H142)</f>
        <v>0</v>
      </c>
      <c r="I143" s="1272">
        <f>SUM(I140:I142)</f>
        <v>0</v>
      </c>
      <c r="J143" s="1074">
        <f>SUM(J140:J142)</f>
        <v>0</v>
      </c>
      <c r="K143" s="1075"/>
      <c r="L143" s="574">
        <f>SUM(L140:L142)</f>
        <v>0</v>
      </c>
      <c r="M143" s="1076">
        <f>SUM(M140:M142)</f>
        <v>0</v>
      </c>
      <c r="N143" s="1170">
        <f>SUM(N140:N142)</f>
        <v>0</v>
      </c>
      <c r="O143" s="1227"/>
      <c r="P143" s="1073"/>
      <c r="Q143" s="1073"/>
      <c r="R143" s="1073"/>
      <c r="S143" s="1073"/>
      <c r="T143" s="1211">
        <f>SUM(T140:T142)</f>
        <v>0</v>
      </c>
      <c r="U143" s="748">
        <f>SUM(U140:U142)</f>
        <v>0</v>
      </c>
      <c r="V143" s="748">
        <f>SUM(V140:V142)</f>
        <v>0</v>
      </c>
      <c r="W143" s="25">
        <f t="shared" si="51"/>
        <v>0</v>
      </c>
    </row>
    <row r="144" spans="1:23" ht="30.75" thickBot="1">
      <c r="A144" s="528" t="s">
        <v>113</v>
      </c>
      <c r="B144" s="1072"/>
      <c r="C144" s="551"/>
      <c r="D144" s="551"/>
      <c r="E144" s="551"/>
      <c r="F144" s="835"/>
      <c r="G144" s="835"/>
      <c r="H144" s="835"/>
      <c r="I144" s="1272"/>
      <c r="J144" s="1047">
        <f>SUM(B144:H144)</f>
        <v>0</v>
      </c>
      <c r="K144" s="1048"/>
      <c r="L144" s="574"/>
      <c r="M144" s="1049"/>
      <c r="N144" s="1165"/>
      <c r="O144" s="1248"/>
      <c r="P144" s="1210"/>
      <c r="Q144" s="1210"/>
      <c r="R144" s="1210"/>
      <c r="S144" s="1210"/>
      <c r="T144" s="1211"/>
      <c r="U144" s="744"/>
      <c r="V144" s="744"/>
      <c r="W144" s="25">
        <f t="shared" si="51"/>
        <v>0</v>
      </c>
    </row>
    <row r="145" spans="1:23" ht="32.25" thickBot="1">
      <c r="A145" s="13" t="s">
        <v>114</v>
      </c>
      <c r="B145" s="1103">
        <f>B143+B144</f>
        <v>0</v>
      </c>
      <c r="C145" s="577">
        <f>C143+C144</f>
        <v>0</v>
      </c>
      <c r="D145" s="577">
        <f>D143+D144</f>
        <v>0</v>
      </c>
      <c r="E145" s="577"/>
      <c r="F145" s="837">
        <f>F143+F144</f>
        <v>0</v>
      </c>
      <c r="G145" s="837"/>
      <c r="H145" s="837">
        <f>H143+H144</f>
        <v>0</v>
      </c>
      <c r="I145" s="1275">
        <f>I143+I144</f>
        <v>0</v>
      </c>
      <c r="J145" s="1105">
        <f>J143+J144</f>
        <v>0</v>
      </c>
      <c r="K145" s="1106"/>
      <c r="L145" s="633">
        <f>L143+L144</f>
        <v>0</v>
      </c>
      <c r="M145" s="1107">
        <f>M143+M144</f>
        <v>0</v>
      </c>
      <c r="N145" s="1182">
        <f>N143+N144</f>
        <v>0</v>
      </c>
      <c r="O145" s="1228"/>
      <c r="P145" s="1104"/>
      <c r="Q145" s="1104"/>
      <c r="R145" s="1104"/>
      <c r="S145" s="1104"/>
      <c r="T145" s="1229">
        <f>T143+T144</f>
        <v>0</v>
      </c>
      <c r="U145" s="753">
        <f>U143+U144</f>
        <v>0</v>
      </c>
      <c r="V145" s="753">
        <f>V143+V144</f>
        <v>0</v>
      </c>
      <c r="W145" s="25">
        <f t="shared" si="51"/>
        <v>0</v>
      </c>
    </row>
    <row r="146" spans="1:23" ht="15.75" thickBot="1">
      <c r="A146" s="590" t="s">
        <v>115</v>
      </c>
      <c r="B146" s="1535"/>
      <c r="C146" s="623"/>
      <c r="D146" s="623"/>
      <c r="E146" s="623"/>
      <c r="F146" s="844"/>
      <c r="G146" s="844"/>
      <c r="H146" s="844"/>
      <c r="I146" s="1282"/>
      <c r="J146" s="1047">
        <f>SUM(B146:H146)</f>
        <v>0</v>
      </c>
      <c r="K146" s="1048"/>
      <c r="L146" s="642"/>
      <c r="M146" s="1149"/>
      <c r="N146" s="1195"/>
      <c r="O146" s="1248"/>
      <c r="P146" s="1210"/>
      <c r="Q146" s="1210"/>
      <c r="R146" s="1210"/>
      <c r="S146" s="1210"/>
      <c r="T146" s="1251"/>
      <c r="U146" s="766"/>
      <c r="V146" s="766"/>
      <c r="W146" s="25">
        <f t="shared" si="51"/>
        <v>0</v>
      </c>
    </row>
    <row r="147" spans="1:23" ht="30.75" thickBot="1">
      <c r="A147" s="586" t="s">
        <v>116</v>
      </c>
      <c r="B147" s="1141"/>
      <c r="C147" s="622"/>
      <c r="D147" s="622"/>
      <c r="E147" s="622"/>
      <c r="F147" s="843"/>
      <c r="G147" s="843"/>
      <c r="H147" s="843"/>
      <c r="I147" s="1281"/>
      <c r="J147" s="1047">
        <f>SUM(B147:H147)</f>
        <v>0</v>
      </c>
      <c r="K147" s="1048"/>
      <c r="L147" s="641"/>
      <c r="M147" s="1146"/>
      <c r="N147" s="1193"/>
      <c r="O147" s="1248"/>
      <c r="P147" s="1210"/>
      <c r="Q147" s="1210"/>
      <c r="R147" s="1210"/>
      <c r="S147" s="1210"/>
      <c r="T147" s="1250"/>
      <c r="U147" s="764"/>
      <c r="V147" s="764"/>
      <c r="W147" s="25">
        <f t="shared" si="51"/>
        <v>0</v>
      </c>
    </row>
    <row r="148" spans="1:23" ht="15.75" thickBot="1">
      <c r="A148" s="528" t="s">
        <v>117</v>
      </c>
      <c r="B148" s="1072">
        <f>SUM(B146:B147)</f>
        <v>0</v>
      </c>
      <c r="C148" s="551">
        <f>SUM(C146:C147)</f>
        <v>0</v>
      </c>
      <c r="D148" s="551">
        <f>SUM(D146:D147)</f>
        <v>0</v>
      </c>
      <c r="E148" s="551"/>
      <c r="F148" s="835">
        <f>SUM(F146:F147)</f>
        <v>0</v>
      </c>
      <c r="G148" s="835"/>
      <c r="H148" s="835">
        <f>SUM(H146:H147)</f>
        <v>0</v>
      </c>
      <c r="I148" s="1272">
        <f>SUM(I146:I147)</f>
        <v>0</v>
      </c>
      <c r="J148" s="1074">
        <f>SUM(J146:J147)</f>
        <v>0</v>
      </c>
      <c r="K148" s="1075"/>
      <c r="L148" s="574">
        <f>SUM(L146:L147)</f>
        <v>0</v>
      </c>
      <c r="M148" s="1076">
        <f>SUM(M146:M147)</f>
        <v>0</v>
      </c>
      <c r="N148" s="1170">
        <f>SUM(N146:N147)</f>
        <v>0</v>
      </c>
      <c r="O148" s="1227"/>
      <c r="P148" s="1073"/>
      <c r="Q148" s="1073"/>
      <c r="R148" s="1073"/>
      <c r="S148" s="1073"/>
      <c r="T148" s="1211">
        <f>SUM(T146:T147)</f>
        <v>0</v>
      </c>
      <c r="U148" s="748">
        <f>SUM(U146:U147)</f>
        <v>0</v>
      </c>
      <c r="V148" s="748">
        <f>SUM(V146:V147)</f>
        <v>0</v>
      </c>
      <c r="W148" s="25">
        <f t="shared" si="51"/>
        <v>0</v>
      </c>
    </row>
    <row r="149" spans="1:23" ht="30">
      <c r="A149" s="8" t="s">
        <v>118</v>
      </c>
      <c r="B149" s="1060"/>
      <c r="C149" s="547"/>
      <c r="D149" s="547"/>
      <c r="E149" s="547"/>
      <c r="F149" s="831"/>
      <c r="G149" s="831"/>
      <c r="H149" s="831"/>
      <c r="I149" s="1268"/>
      <c r="J149" s="1131">
        <f>SUM(B149:H149)</f>
        <v>0</v>
      </c>
      <c r="K149" s="1132"/>
      <c r="L149" s="1305"/>
      <c r="M149" s="1036"/>
      <c r="N149" s="1162"/>
      <c r="O149" s="1286"/>
      <c r="P149" s="1243"/>
      <c r="Q149" s="1243"/>
      <c r="R149" s="1243"/>
      <c r="S149" s="1243"/>
      <c r="T149" s="1308"/>
      <c r="U149" s="741"/>
      <c r="V149" s="741"/>
      <c r="W149" s="25">
        <f t="shared" si="51"/>
        <v>0</v>
      </c>
    </row>
    <row r="150" spans="1:23" ht="30.75" thickBot="1">
      <c r="A150" s="1301" t="s">
        <v>119</v>
      </c>
      <c r="B150" s="1536"/>
      <c r="C150" s="548"/>
      <c r="D150" s="548"/>
      <c r="E150" s="548"/>
      <c r="F150" s="832"/>
      <c r="G150" s="832"/>
      <c r="H150" s="832"/>
      <c r="I150" s="1269"/>
      <c r="J150" s="1291">
        <f>SUM(B150:H150)</f>
        <v>0</v>
      </c>
      <c r="K150" s="1292"/>
      <c r="L150" s="1310"/>
      <c r="M150" s="1302"/>
      <c r="N150" s="1303"/>
      <c r="O150" s="1296"/>
      <c r="P150" s="1297"/>
      <c r="Q150" s="1297"/>
      <c r="R150" s="1297"/>
      <c r="S150" s="1297"/>
      <c r="T150" s="1313"/>
      <c r="U150" s="1304"/>
      <c r="V150" s="1304"/>
      <c r="W150" s="1020">
        <f t="shared" si="51"/>
        <v>0</v>
      </c>
    </row>
    <row r="151" spans="1:23" ht="15.75" thickBot="1">
      <c r="A151" s="586" t="s">
        <v>120</v>
      </c>
      <c r="B151" s="1141">
        <f>SUM(B149:B150)</f>
        <v>0</v>
      </c>
      <c r="C151" s="622">
        <f>SUM(C149:C150)</f>
        <v>0</v>
      </c>
      <c r="D151" s="622">
        <f>SUM(D149:D150)</f>
        <v>0</v>
      </c>
      <c r="E151" s="622"/>
      <c r="F151" s="843">
        <f>SUM(F149:F150)</f>
        <v>0</v>
      </c>
      <c r="G151" s="843"/>
      <c r="H151" s="843">
        <f>SUM(H149:H150)</f>
        <v>0</v>
      </c>
      <c r="I151" s="1281">
        <f>SUM(I149:I150)</f>
        <v>0</v>
      </c>
      <c r="J151" s="1143">
        <f>SUM(J149:J150)</f>
        <v>0</v>
      </c>
      <c r="K151" s="1144"/>
      <c r="L151" s="641">
        <f>SUM(L149:L150)</f>
        <v>0</v>
      </c>
      <c r="M151" s="1145">
        <f>SUM(M149:M150)</f>
        <v>0</v>
      </c>
      <c r="N151" s="1192">
        <f>SUM(N149:N150)</f>
        <v>0</v>
      </c>
      <c r="O151" s="1249"/>
      <c r="P151" s="1142"/>
      <c r="Q151" s="1142"/>
      <c r="R151" s="1142"/>
      <c r="S151" s="1142"/>
      <c r="T151" s="1250">
        <f>SUM(T149:T150)</f>
        <v>0</v>
      </c>
      <c r="U151" s="763">
        <f>SUM(U149:U150)</f>
        <v>0</v>
      </c>
      <c r="V151" s="763">
        <f>SUM(V149:V150)</f>
        <v>0</v>
      </c>
      <c r="W151" s="25">
        <f t="shared" si="51"/>
        <v>0</v>
      </c>
    </row>
    <row r="152" spans="1:23" ht="30">
      <c r="A152" s="8" t="s">
        <v>121</v>
      </c>
      <c r="B152" s="1060"/>
      <c r="C152" s="547"/>
      <c r="D152" s="547"/>
      <c r="E152" s="547"/>
      <c r="F152" s="831"/>
      <c r="G152" s="831"/>
      <c r="H152" s="831"/>
      <c r="I152" s="1268"/>
      <c r="J152" s="1131">
        <f>SUM(B152:H152)</f>
        <v>0</v>
      </c>
      <c r="K152" s="1132"/>
      <c r="L152" s="1305"/>
      <c r="M152" s="1306"/>
      <c r="N152" s="1307"/>
      <c r="O152" s="1286"/>
      <c r="P152" s="1243"/>
      <c r="Q152" s="1243"/>
      <c r="R152" s="1243"/>
      <c r="S152" s="1243"/>
      <c r="T152" s="1308"/>
      <c r="U152" s="1309"/>
      <c r="V152" s="1309"/>
      <c r="W152" s="25">
        <f t="shared" si="51"/>
        <v>0</v>
      </c>
    </row>
    <row r="153" spans="1:23" ht="30.75" thickBot="1">
      <c r="A153" s="1301" t="s">
        <v>122</v>
      </c>
      <c r="B153" s="1536"/>
      <c r="C153" s="548"/>
      <c r="D153" s="548"/>
      <c r="E153" s="548"/>
      <c r="F153" s="832"/>
      <c r="G153" s="832"/>
      <c r="H153" s="832"/>
      <c r="I153" s="1269"/>
      <c r="J153" s="1291">
        <f>SUM(B153:H153)</f>
        <v>0</v>
      </c>
      <c r="K153" s="1292"/>
      <c r="L153" s="1310"/>
      <c r="M153" s="1311"/>
      <c r="N153" s="1312"/>
      <c r="O153" s="1296"/>
      <c r="P153" s="1297"/>
      <c r="Q153" s="1297"/>
      <c r="R153" s="1297"/>
      <c r="S153" s="1297"/>
      <c r="T153" s="1313"/>
      <c r="U153" s="1314"/>
      <c r="V153" s="1314"/>
      <c r="W153" s="1020">
        <f t="shared" si="51"/>
        <v>0</v>
      </c>
    </row>
    <row r="154" spans="1:23" ht="15.75" thickBot="1">
      <c r="A154" s="586" t="s">
        <v>123</v>
      </c>
      <c r="B154" s="1141">
        <f>SUM(B152:B153)</f>
        <v>0</v>
      </c>
      <c r="C154" s="622">
        <f>SUM(C152:C153)</f>
        <v>0</v>
      </c>
      <c r="D154" s="622">
        <f>SUM(D152:D153)</f>
        <v>0</v>
      </c>
      <c r="E154" s="622"/>
      <c r="F154" s="843">
        <f>SUM(F152:F153)</f>
        <v>0</v>
      </c>
      <c r="G154" s="843"/>
      <c r="H154" s="843">
        <f>SUM(H152:H153)</f>
        <v>0</v>
      </c>
      <c r="I154" s="1281">
        <f>SUM(I152:I153)</f>
        <v>0</v>
      </c>
      <c r="J154" s="1143">
        <f>SUM(J152:J153)</f>
        <v>0</v>
      </c>
      <c r="K154" s="1144"/>
      <c r="L154" s="641">
        <f>SUM(L152:L153)</f>
        <v>0</v>
      </c>
      <c r="M154" s="1145">
        <f>SUM(M152:M153)</f>
        <v>0</v>
      </c>
      <c r="N154" s="1192">
        <f>SUM(N152:N153)</f>
        <v>0</v>
      </c>
      <c r="O154" s="1249"/>
      <c r="P154" s="1142"/>
      <c r="Q154" s="1142"/>
      <c r="R154" s="1142"/>
      <c r="S154" s="1142"/>
      <c r="T154" s="1250">
        <f>SUM(T152:T153)</f>
        <v>0</v>
      </c>
      <c r="U154" s="763">
        <f>SUM(U152:U153)</f>
        <v>0</v>
      </c>
      <c r="V154" s="763">
        <f>SUM(V152:V153)</f>
        <v>0</v>
      </c>
      <c r="W154" s="25">
        <f t="shared" si="51"/>
        <v>0</v>
      </c>
    </row>
    <row r="155" spans="1:23" ht="15.75" thickBot="1">
      <c r="A155" s="591" t="s">
        <v>124</v>
      </c>
      <c r="B155" s="1530"/>
      <c r="C155" s="624"/>
      <c r="D155" s="624"/>
      <c r="E155" s="624"/>
      <c r="F155" s="845"/>
      <c r="G155" s="845"/>
      <c r="H155" s="845"/>
      <c r="I155" s="1283"/>
      <c r="J155" s="1047">
        <f>SUM(B155:H155)</f>
        <v>0</v>
      </c>
      <c r="K155" s="1048"/>
      <c r="L155" s="643"/>
      <c r="M155" s="1049"/>
      <c r="N155" s="1165"/>
      <c r="O155" s="1248"/>
      <c r="P155" s="1210"/>
      <c r="Q155" s="1210"/>
      <c r="R155" s="1210"/>
      <c r="S155" s="1210"/>
      <c r="T155" s="1252"/>
      <c r="U155" s="744"/>
      <c r="V155" s="744"/>
      <c r="W155" s="25">
        <f t="shared" si="51"/>
        <v>0</v>
      </c>
    </row>
    <row r="156" spans="1:23" ht="30.75" thickBot="1">
      <c r="A156" s="586" t="s">
        <v>125</v>
      </c>
      <c r="B156" s="1141">
        <f>B155</f>
        <v>0</v>
      </c>
      <c r="C156" s="622">
        <f>C155</f>
        <v>0</v>
      </c>
      <c r="D156" s="622">
        <f>D155</f>
        <v>0</v>
      </c>
      <c r="E156" s="622"/>
      <c r="F156" s="843">
        <f>F155</f>
        <v>0</v>
      </c>
      <c r="G156" s="843"/>
      <c r="H156" s="843">
        <f>H155</f>
        <v>0</v>
      </c>
      <c r="I156" s="1281">
        <f>I155</f>
        <v>0</v>
      </c>
      <c r="J156" s="1143">
        <f>J155</f>
        <v>0</v>
      </c>
      <c r="K156" s="1144"/>
      <c r="L156" s="641">
        <f>L155</f>
        <v>0</v>
      </c>
      <c r="M156" s="1145">
        <f>M155</f>
        <v>0</v>
      </c>
      <c r="N156" s="1192">
        <f>N155</f>
        <v>0</v>
      </c>
      <c r="O156" s="1249"/>
      <c r="P156" s="1142"/>
      <c r="Q156" s="1142"/>
      <c r="R156" s="1142"/>
      <c r="S156" s="1142"/>
      <c r="T156" s="1250">
        <f>T155</f>
        <v>0</v>
      </c>
      <c r="U156" s="763">
        <f>U155</f>
        <v>0</v>
      </c>
      <c r="V156" s="763">
        <f>V155</f>
        <v>0</v>
      </c>
      <c r="W156" s="25">
        <f t="shared" si="51"/>
        <v>0</v>
      </c>
    </row>
    <row r="157" spans="1:23" ht="15.75" thickBot="1">
      <c r="A157" s="528" t="s">
        <v>126</v>
      </c>
      <c r="B157" s="1072">
        <f>B151+B154+B156</f>
        <v>0</v>
      </c>
      <c r="C157" s="551">
        <f>C151+C154+C156</f>
        <v>0</v>
      </c>
      <c r="D157" s="551">
        <f>D151+D154+D156</f>
        <v>0</v>
      </c>
      <c r="E157" s="551"/>
      <c r="F157" s="835">
        <f>F151+F154+F156</f>
        <v>0</v>
      </c>
      <c r="G157" s="835"/>
      <c r="H157" s="835">
        <f>H151+H154+H156</f>
        <v>0</v>
      </c>
      <c r="I157" s="1272">
        <f>I151+I154+I156</f>
        <v>0</v>
      </c>
      <c r="J157" s="1074">
        <f>J151+J154+J156</f>
        <v>0</v>
      </c>
      <c r="K157" s="1075"/>
      <c r="L157" s="574">
        <f>L151+L154+L156</f>
        <v>0</v>
      </c>
      <c r="M157" s="1076">
        <f>M151+M154+M156</f>
        <v>0</v>
      </c>
      <c r="N157" s="1170">
        <f>N151+N154+N156</f>
        <v>0</v>
      </c>
      <c r="O157" s="1227"/>
      <c r="P157" s="1073"/>
      <c r="Q157" s="1073"/>
      <c r="R157" s="1073"/>
      <c r="S157" s="1073"/>
      <c r="T157" s="1211">
        <f>T151+T154+T156</f>
        <v>0</v>
      </c>
      <c r="U157" s="748">
        <f>U151+U154+U156</f>
        <v>0</v>
      </c>
      <c r="V157" s="748">
        <f>V151+V154+V156</f>
        <v>0</v>
      </c>
      <c r="W157" s="25">
        <f t="shared" si="51"/>
        <v>0</v>
      </c>
    </row>
    <row r="158" spans="1:23" ht="15.75" thickBot="1">
      <c r="A158" s="586" t="s">
        <v>127</v>
      </c>
      <c r="B158" s="1141"/>
      <c r="C158" s="622"/>
      <c r="D158" s="622"/>
      <c r="E158" s="622"/>
      <c r="F158" s="843"/>
      <c r="G158" s="843"/>
      <c r="H158" s="843"/>
      <c r="I158" s="1281"/>
      <c r="J158" s="1047">
        <f>SUM(B158:H158)</f>
        <v>0</v>
      </c>
      <c r="K158" s="1048"/>
      <c r="L158" s="641"/>
      <c r="M158" s="1146"/>
      <c r="N158" s="1193"/>
      <c r="O158" s="1248"/>
      <c r="P158" s="1210"/>
      <c r="Q158" s="1210"/>
      <c r="R158" s="1210"/>
      <c r="S158" s="1210"/>
      <c r="T158" s="1250"/>
      <c r="U158" s="764"/>
      <c r="V158" s="764"/>
      <c r="W158" s="25">
        <f t="shared" si="51"/>
        <v>0</v>
      </c>
    </row>
    <row r="159" spans="1:23" ht="15.75" thickBot="1">
      <c r="A159" s="586" t="s">
        <v>128</v>
      </c>
      <c r="B159" s="1141"/>
      <c r="C159" s="622"/>
      <c r="D159" s="622"/>
      <c r="E159" s="622"/>
      <c r="F159" s="843"/>
      <c r="G159" s="843"/>
      <c r="H159" s="843"/>
      <c r="I159" s="1281"/>
      <c r="J159" s="1047">
        <f>SUM(B159:H159)</f>
        <v>0</v>
      </c>
      <c r="K159" s="1048"/>
      <c r="L159" s="641"/>
      <c r="M159" s="1146"/>
      <c r="N159" s="1193"/>
      <c r="O159" s="1248"/>
      <c r="P159" s="1210"/>
      <c r="Q159" s="1210"/>
      <c r="R159" s="1210"/>
      <c r="S159" s="1210"/>
      <c r="T159" s="1250"/>
      <c r="U159" s="764"/>
      <c r="V159" s="764"/>
      <c r="W159" s="25">
        <f t="shared" si="51"/>
        <v>0</v>
      </c>
    </row>
    <row r="160" spans="1:23" ht="15.75" thickBot="1">
      <c r="A160" s="586" t="s">
        <v>129</v>
      </c>
      <c r="B160" s="1141"/>
      <c r="C160" s="622"/>
      <c r="D160" s="622"/>
      <c r="E160" s="622"/>
      <c r="F160" s="843"/>
      <c r="G160" s="843"/>
      <c r="H160" s="843"/>
      <c r="I160" s="1281"/>
      <c r="J160" s="1047">
        <f>SUM(B160:H160)</f>
        <v>0</v>
      </c>
      <c r="K160" s="1048"/>
      <c r="L160" s="641"/>
      <c r="M160" s="1146"/>
      <c r="N160" s="1193"/>
      <c r="O160" s="1248"/>
      <c r="P160" s="1210"/>
      <c r="Q160" s="1210"/>
      <c r="R160" s="1210"/>
      <c r="S160" s="1210"/>
      <c r="T160" s="1250"/>
      <c r="U160" s="764"/>
      <c r="V160" s="764"/>
      <c r="W160" s="25">
        <f t="shared" si="51"/>
        <v>0</v>
      </c>
    </row>
    <row r="161" spans="1:23" ht="30.75" thickBot="1">
      <c r="A161" s="586" t="s">
        <v>130</v>
      </c>
      <c r="B161" s="1141"/>
      <c r="C161" s="622"/>
      <c r="D161" s="622"/>
      <c r="E161" s="622"/>
      <c r="F161" s="843"/>
      <c r="G161" s="843"/>
      <c r="H161" s="843"/>
      <c r="I161" s="1281"/>
      <c r="J161" s="1047">
        <f>SUM(B161:H161)</f>
        <v>0</v>
      </c>
      <c r="K161" s="1048"/>
      <c r="L161" s="641"/>
      <c r="M161" s="1146"/>
      <c r="N161" s="1193"/>
      <c r="O161" s="1248"/>
      <c r="P161" s="1210"/>
      <c r="Q161" s="1210"/>
      <c r="R161" s="1210"/>
      <c r="S161" s="1210"/>
      <c r="T161" s="1250"/>
      <c r="U161" s="764"/>
      <c r="V161" s="764"/>
      <c r="W161" s="25">
        <f t="shared" si="51"/>
        <v>0</v>
      </c>
    </row>
    <row r="162" spans="1:23" ht="15.75" thickBot="1">
      <c r="A162" s="586" t="s">
        <v>131</v>
      </c>
      <c r="B162" s="1141"/>
      <c r="C162" s="622"/>
      <c r="D162" s="622"/>
      <c r="E162" s="622"/>
      <c r="F162" s="843"/>
      <c r="G162" s="843"/>
      <c r="H162" s="843"/>
      <c r="I162" s="1281"/>
      <c r="J162" s="1047">
        <f>SUM(B162:H162)</f>
        <v>0</v>
      </c>
      <c r="K162" s="1048"/>
      <c r="L162" s="641"/>
      <c r="M162" s="1146"/>
      <c r="N162" s="1193"/>
      <c r="O162" s="1248"/>
      <c r="P162" s="1210"/>
      <c r="Q162" s="1210"/>
      <c r="R162" s="1210"/>
      <c r="S162" s="1210"/>
      <c r="T162" s="1250"/>
      <c r="U162" s="764"/>
      <c r="V162" s="764"/>
      <c r="W162" s="25">
        <f t="shared" si="51"/>
        <v>0</v>
      </c>
    </row>
    <row r="163" spans="1:23" ht="15.75" thickBot="1">
      <c r="A163" s="528" t="s">
        <v>132</v>
      </c>
      <c r="B163" s="1072">
        <f>SUM(B158:B162)</f>
        <v>0</v>
      </c>
      <c r="C163" s="551">
        <f>SUM(C158:C162)</f>
        <v>0</v>
      </c>
      <c r="D163" s="551">
        <f>SUM(D158:D162)</f>
        <v>0</v>
      </c>
      <c r="E163" s="551"/>
      <c r="F163" s="835">
        <f>SUM(F158:F162)</f>
        <v>0</v>
      </c>
      <c r="G163" s="835"/>
      <c r="H163" s="835">
        <f>SUM(H158:H162)</f>
        <v>0</v>
      </c>
      <c r="I163" s="1272">
        <f>SUM(I158:I162)</f>
        <v>0</v>
      </c>
      <c r="J163" s="1074">
        <f>SUM(J158:J162)</f>
        <v>0</v>
      </c>
      <c r="K163" s="1075"/>
      <c r="L163" s="574">
        <f>SUM(L158:L162)</f>
        <v>0</v>
      </c>
      <c r="M163" s="1076">
        <f>SUM(M158:M162)</f>
        <v>0</v>
      </c>
      <c r="N163" s="1170">
        <f>SUM(N158:N162)</f>
        <v>0</v>
      </c>
      <c r="O163" s="1227"/>
      <c r="P163" s="1073"/>
      <c r="Q163" s="1073"/>
      <c r="R163" s="1073"/>
      <c r="S163" s="1073"/>
      <c r="T163" s="1211">
        <f>SUM(T158:T162)</f>
        <v>0</v>
      </c>
      <c r="U163" s="748">
        <f>SUM(U158:U162)</f>
        <v>0</v>
      </c>
      <c r="V163" s="748">
        <f>SUM(V158:V162)</f>
        <v>0</v>
      </c>
      <c r="W163" s="25">
        <f t="shared" si="51"/>
        <v>0</v>
      </c>
    </row>
    <row r="164" spans="1:23" ht="16.5" thickBot="1">
      <c r="A164" s="13" t="s">
        <v>133</v>
      </c>
      <c r="B164" s="1103">
        <f>B148+B157+B163</f>
        <v>0</v>
      </c>
      <c r="C164" s="577">
        <f>C148+C157+C163</f>
        <v>0</v>
      </c>
      <c r="D164" s="577">
        <f>D148+D157+D163</f>
        <v>0</v>
      </c>
      <c r="E164" s="577"/>
      <c r="F164" s="837">
        <f>F148+F157+F163</f>
        <v>0</v>
      </c>
      <c r="G164" s="837"/>
      <c r="H164" s="837">
        <f>H148+H157+H163</f>
        <v>0</v>
      </c>
      <c r="I164" s="1275">
        <f>I148+I157+I163</f>
        <v>0</v>
      </c>
      <c r="J164" s="1105">
        <f>J148+J157+J163</f>
        <v>0</v>
      </c>
      <c r="K164" s="1106"/>
      <c r="L164" s="633">
        <f>L148+L157+L163</f>
        <v>0</v>
      </c>
      <c r="M164" s="1107">
        <f>M148+M157+M163</f>
        <v>0</v>
      </c>
      <c r="N164" s="1182">
        <f>N148+N157+N163</f>
        <v>0</v>
      </c>
      <c r="O164" s="1228"/>
      <c r="P164" s="1104"/>
      <c r="Q164" s="1104"/>
      <c r="R164" s="1104"/>
      <c r="S164" s="1104"/>
      <c r="T164" s="1229">
        <f>T148+T157+T163</f>
        <v>0</v>
      </c>
      <c r="U164" s="753">
        <f>U148+U157+U163</f>
        <v>0</v>
      </c>
      <c r="V164" s="753">
        <f>V148+V157+V163</f>
        <v>0</v>
      </c>
      <c r="W164" s="25">
        <f t="shared" si="51"/>
        <v>0</v>
      </c>
    </row>
    <row r="165" spans="1:23">
      <c r="A165" s="1316" t="s">
        <v>173</v>
      </c>
      <c r="B165" s="1328"/>
      <c r="C165" s="1329"/>
      <c r="D165" s="1329"/>
      <c r="E165" s="1329"/>
      <c r="F165" s="1317"/>
      <c r="G165" s="1317"/>
      <c r="H165" s="1317"/>
      <c r="I165" s="1318"/>
      <c r="J165" s="1319">
        <v>0</v>
      </c>
      <c r="K165" s="1320"/>
      <c r="L165" s="1321"/>
      <c r="M165" s="1322"/>
      <c r="N165" s="1323"/>
      <c r="O165" s="1324"/>
      <c r="P165" s="1325"/>
      <c r="Q165" s="1325"/>
      <c r="R165" s="1325"/>
      <c r="S165" s="1325">
        <v>7200000</v>
      </c>
      <c r="T165" s="1326">
        <f>SUM(O165:S165)</f>
        <v>7200000</v>
      </c>
      <c r="U165" s="1327"/>
      <c r="V165" s="1327"/>
      <c r="W165" s="25">
        <f t="shared" si="51"/>
        <v>7200000</v>
      </c>
    </row>
    <row r="166" spans="1:23" ht="30">
      <c r="A166" s="524" t="s">
        <v>174</v>
      </c>
      <c r="B166" s="1330"/>
      <c r="C166" s="617"/>
      <c r="D166" s="617"/>
      <c r="E166" s="617"/>
      <c r="F166" s="846"/>
      <c r="G166" s="846"/>
      <c r="H166" s="846"/>
      <c r="I166" s="1284"/>
      <c r="J166" s="1151">
        <f>SUM(B166:I166)</f>
        <v>0</v>
      </c>
      <c r="K166" s="1152"/>
      <c r="L166" s="645"/>
      <c r="M166" s="1153"/>
      <c r="N166" s="1196"/>
      <c r="O166" s="1253"/>
      <c r="P166" s="1150"/>
      <c r="Q166" s="1150"/>
      <c r="R166" s="1150"/>
      <c r="S166" s="1150"/>
      <c r="T166" s="1254"/>
      <c r="U166" s="768"/>
      <c r="V166" s="768"/>
      <c r="W166" s="1019">
        <f t="shared" si="51"/>
        <v>0</v>
      </c>
    </row>
    <row r="167" spans="1:23" ht="45">
      <c r="A167" s="10" t="s">
        <v>134</v>
      </c>
      <c r="B167" s="1062"/>
      <c r="C167" s="549"/>
      <c r="D167" s="549"/>
      <c r="E167" s="549"/>
      <c r="F167" s="833"/>
      <c r="G167" s="833"/>
      <c r="H167" s="833"/>
      <c r="I167" s="1270"/>
      <c r="J167" s="1151">
        <v>0</v>
      </c>
      <c r="K167" s="1152"/>
      <c r="L167" s="27"/>
      <c r="M167" s="1124"/>
      <c r="N167" s="1186"/>
      <c r="O167" s="1253"/>
      <c r="P167" s="1150"/>
      <c r="Q167" s="1150"/>
      <c r="R167" s="1150"/>
      <c r="S167" s="1150"/>
      <c r="T167" s="1219"/>
      <c r="U167" s="757"/>
      <c r="V167" s="757"/>
      <c r="W167" s="1019">
        <f t="shared" si="51"/>
        <v>0</v>
      </c>
    </row>
    <row r="168" spans="1:23">
      <c r="A168" s="11" t="s">
        <v>135</v>
      </c>
      <c r="B168" s="1117">
        <f>B167</f>
        <v>0</v>
      </c>
      <c r="C168" s="552">
        <f>C167</f>
        <v>0</v>
      </c>
      <c r="D168" s="552">
        <f>D167</f>
        <v>0</v>
      </c>
      <c r="E168" s="552"/>
      <c r="F168" s="839">
        <f>F167</f>
        <v>0</v>
      </c>
      <c r="G168" s="839"/>
      <c r="H168" s="839">
        <f>H167</f>
        <v>0</v>
      </c>
      <c r="I168" s="1277">
        <f>I167</f>
        <v>0</v>
      </c>
      <c r="J168" s="1151">
        <v>0</v>
      </c>
      <c r="K168" s="1152"/>
      <c r="L168" s="636">
        <f>L167</f>
        <v>0</v>
      </c>
      <c r="M168" s="1121">
        <f>M167</f>
        <v>0</v>
      </c>
      <c r="N168" s="1185">
        <f>N167</f>
        <v>0</v>
      </c>
      <c r="O168" s="1253"/>
      <c r="P168" s="1150"/>
      <c r="Q168" s="1150"/>
      <c r="R168" s="1150"/>
      <c r="S168" s="1150"/>
      <c r="T168" s="1236">
        <f>T167</f>
        <v>0</v>
      </c>
      <c r="U168" s="756">
        <f>U167</f>
        <v>0</v>
      </c>
      <c r="V168" s="756">
        <f>V167</f>
        <v>0</v>
      </c>
      <c r="W168" s="1019">
        <f t="shared" si="51"/>
        <v>0</v>
      </c>
    </row>
    <row r="169" spans="1:23">
      <c r="A169" s="11" t="s">
        <v>136</v>
      </c>
      <c r="B169" s="1117"/>
      <c r="C169" s="552"/>
      <c r="D169" s="552"/>
      <c r="E169" s="552"/>
      <c r="F169" s="839"/>
      <c r="G169" s="839"/>
      <c r="H169" s="839"/>
      <c r="I169" s="1277"/>
      <c r="J169" s="1151">
        <v>0</v>
      </c>
      <c r="K169" s="1152"/>
      <c r="L169" s="636"/>
      <c r="M169" s="1134"/>
      <c r="N169" s="1189"/>
      <c r="O169" s="1253"/>
      <c r="P169" s="1150"/>
      <c r="Q169" s="1150"/>
      <c r="R169" s="1150"/>
      <c r="S169" s="1150">
        <v>1100000</v>
      </c>
      <c r="T169" s="1236">
        <f>SUM(O169:S169)</f>
        <v>1100000</v>
      </c>
      <c r="U169" s="760"/>
      <c r="V169" s="760"/>
      <c r="W169" s="1019">
        <f t="shared" si="51"/>
        <v>1100000</v>
      </c>
    </row>
    <row r="170" spans="1:23">
      <c r="A170" s="11" t="s">
        <v>137</v>
      </c>
      <c r="B170" s="1117"/>
      <c r="C170" s="552"/>
      <c r="D170" s="552"/>
      <c r="E170" s="552"/>
      <c r="F170" s="839"/>
      <c r="G170" s="839"/>
      <c r="H170" s="839"/>
      <c r="I170" s="1277"/>
      <c r="J170" s="1151">
        <v>0</v>
      </c>
      <c r="K170" s="1152"/>
      <c r="L170" s="636"/>
      <c r="M170" s="1134"/>
      <c r="N170" s="1189"/>
      <c r="O170" s="1253"/>
      <c r="P170" s="1150"/>
      <c r="Q170" s="1150"/>
      <c r="R170" s="1150"/>
      <c r="S170" s="1150">
        <f>(S165+S169)*27%</f>
        <v>2241000</v>
      </c>
      <c r="T170" s="1236">
        <f>SUM(O170:S170)</f>
        <v>2241000</v>
      </c>
      <c r="U170" s="760"/>
      <c r="V170" s="760"/>
      <c r="W170" s="1019">
        <f t="shared" si="51"/>
        <v>2241000</v>
      </c>
    </row>
    <row r="171" spans="1:23">
      <c r="A171" s="11" t="s">
        <v>138</v>
      </c>
      <c r="B171" s="1117"/>
      <c r="C171" s="552"/>
      <c r="D171" s="552"/>
      <c r="E171" s="552"/>
      <c r="F171" s="839"/>
      <c r="G171" s="839"/>
      <c r="H171" s="839"/>
      <c r="I171" s="1277"/>
      <c r="J171" s="1151">
        <v>0</v>
      </c>
      <c r="K171" s="1152"/>
      <c r="L171" s="636"/>
      <c r="M171" s="1134"/>
      <c r="N171" s="1189"/>
      <c r="O171" s="1253"/>
      <c r="P171" s="1150"/>
      <c r="Q171" s="1150"/>
      <c r="R171" s="1150"/>
      <c r="S171" s="1150">
        <f>S71</f>
        <v>3382293.72</v>
      </c>
      <c r="T171" s="1236">
        <f>SUM(O171:S171)</f>
        <v>3382293.72</v>
      </c>
      <c r="U171" s="760"/>
      <c r="V171" s="760"/>
      <c r="W171" s="1019">
        <f t="shared" si="51"/>
        <v>3382293.72</v>
      </c>
    </row>
    <row r="172" spans="1:23">
      <c r="A172" s="11" t="s">
        <v>139</v>
      </c>
      <c r="B172" s="1117"/>
      <c r="C172" s="552"/>
      <c r="D172" s="552"/>
      <c r="E172" s="552"/>
      <c r="F172" s="839"/>
      <c r="G172" s="839"/>
      <c r="H172" s="839"/>
      <c r="I172" s="1277"/>
      <c r="J172" s="1122">
        <f>SUM(B172:H172)</f>
        <v>0</v>
      </c>
      <c r="K172" s="1123"/>
      <c r="L172" s="636"/>
      <c r="M172" s="1134">
        <v>5000</v>
      </c>
      <c r="N172" s="1189"/>
      <c r="O172" s="1237"/>
      <c r="P172" s="1238"/>
      <c r="Q172" s="1238"/>
      <c r="R172" s="1238"/>
      <c r="S172" s="1238"/>
      <c r="T172" s="1236">
        <f>SUM(O172:S172)</f>
        <v>0</v>
      </c>
      <c r="U172" s="760"/>
      <c r="V172" s="760"/>
      <c r="W172" s="1019">
        <f t="shared" si="51"/>
        <v>5000</v>
      </c>
    </row>
    <row r="173" spans="1:23" ht="15.75" thickBot="1">
      <c r="A173" s="525" t="s">
        <v>671</v>
      </c>
      <c r="B173" s="1068"/>
      <c r="C173" s="550"/>
      <c r="D173" s="550"/>
      <c r="E173" s="550"/>
      <c r="F173" s="834"/>
      <c r="G173" s="834"/>
      <c r="H173" s="834"/>
      <c r="I173" s="1271"/>
      <c r="J173" s="1135">
        <f>SUM(B173:I173)</f>
        <v>0</v>
      </c>
      <c r="K173" s="1136"/>
      <c r="L173" s="632"/>
      <c r="M173" s="1154"/>
      <c r="N173" s="1197"/>
      <c r="O173" s="1245"/>
      <c r="P173" s="1246"/>
      <c r="Q173" s="1246"/>
      <c r="R173" s="1246"/>
      <c r="S173" s="1246">
        <v>500</v>
      </c>
      <c r="T173" s="1236">
        <f>SUM(O173:S173)</f>
        <v>500</v>
      </c>
      <c r="U173" s="1155"/>
      <c r="V173" s="1155"/>
      <c r="W173" s="1020">
        <f t="shared" si="51"/>
        <v>500</v>
      </c>
    </row>
    <row r="174" spans="1:23" ht="15.75" thickBot="1">
      <c r="A174" s="528" t="s">
        <v>672</v>
      </c>
      <c r="B174" s="1072">
        <f>B173</f>
        <v>0</v>
      </c>
      <c r="C174" s="551">
        <f>C173</f>
        <v>0</v>
      </c>
      <c r="D174" s="551">
        <f>D173</f>
        <v>0</v>
      </c>
      <c r="E174" s="551"/>
      <c r="F174" s="835">
        <f>F173</f>
        <v>0</v>
      </c>
      <c r="G174" s="835"/>
      <c r="H174" s="835">
        <f>H173</f>
        <v>0</v>
      </c>
      <c r="I174" s="1272">
        <f>I173</f>
        <v>0</v>
      </c>
      <c r="J174" s="1074">
        <f>J173</f>
        <v>0</v>
      </c>
      <c r="K174" s="1075"/>
      <c r="L174" s="574">
        <f>L173</f>
        <v>0</v>
      </c>
      <c r="M174" s="1076">
        <f>M173</f>
        <v>0</v>
      </c>
      <c r="N174" s="1170">
        <f>N173</f>
        <v>0</v>
      </c>
      <c r="O174" s="1221"/>
      <c r="P174" s="1073"/>
      <c r="Q174" s="1073"/>
      <c r="R174" s="1073"/>
      <c r="S174" s="1073"/>
      <c r="T174" s="1211">
        <f>T173</f>
        <v>500</v>
      </c>
      <c r="U174" s="748">
        <f>U173</f>
        <v>0</v>
      </c>
      <c r="V174" s="748">
        <f>V173</f>
        <v>0</v>
      </c>
      <c r="W174" s="25">
        <f t="shared" si="51"/>
        <v>500</v>
      </c>
    </row>
    <row r="175" spans="1:23" ht="16.5" thickBot="1">
      <c r="A175" s="13" t="s">
        <v>142</v>
      </c>
      <c r="B175" s="1103">
        <f>B168+B169+B170+B171+B172+B174</f>
        <v>0</v>
      </c>
      <c r="C175" s="577">
        <f>C168+C169+C170+C171+C172+C174</f>
        <v>0</v>
      </c>
      <c r="D175" s="577">
        <f>D168+D169+D170+D171+D172+D174</f>
        <v>0</v>
      </c>
      <c r="E175" s="577"/>
      <c r="F175" s="837">
        <f>F168+F169+F170+F171+F172+F174+F165+F166</f>
        <v>0</v>
      </c>
      <c r="G175" s="837"/>
      <c r="H175" s="837">
        <f>H168+H169+H170+H171+H172+H174</f>
        <v>0</v>
      </c>
      <c r="I175" s="1275">
        <f>I168+I169+I170+I171+I172+I174</f>
        <v>0</v>
      </c>
      <c r="J175" s="1105">
        <f>J168+J169+J170+J171+J172+J174+J165+J166</f>
        <v>0</v>
      </c>
      <c r="K175" s="1106"/>
      <c r="L175" s="633">
        <f>L168+L169+L170+L171+L172+L174+L165+L166</f>
        <v>0</v>
      </c>
      <c r="M175" s="1107">
        <f>M168+M169+M170+M171+M172+M174+M165+M166</f>
        <v>5000</v>
      </c>
      <c r="N175" s="1182">
        <f>N168+N169+N170+N171+N172+N174+N165+N166</f>
        <v>0</v>
      </c>
      <c r="O175" s="1228"/>
      <c r="P175" s="1104"/>
      <c r="Q175" s="1104"/>
      <c r="R175" s="1104"/>
      <c r="S175" s="1104">
        <f>S165+S169+S170+S171+S173</f>
        <v>13923793.720000001</v>
      </c>
      <c r="T175" s="1229">
        <f>T168+T169+T170+T171+T172+T174+T165+T166</f>
        <v>13923793.720000001</v>
      </c>
      <c r="U175" s="753">
        <f>U168+U169+U170+U171+U172+U174+U165+U166</f>
        <v>0</v>
      </c>
      <c r="V175" s="753">
        <f>V168+V169+V170+V171+V172+V174+V165+V166</f>
        <v>0</v>
      </c>
      <c r="W175" s="1108">
        <f t="shared" si="51"/>
        <v>13928793.720000001</v>
      </c>
    </row>
    <row r="176" spans="1:23">
      <c r="A176" s="584" t="s">
        <v>143</v>
      </c>
      <c r="B176" s="1138"/>
      <c r="C176" s="585"/>
      <c r="D176" s="585"/>
      <c r="E176" s="585"/>
      <c r="F176" s="842"/>
      <c r="G176" s="842"/>
      <c r="H176" s="842"/>
      <c r="I176" s="1280"/>
      <c r="J176" s="1114">
        <f>SUM(B176:H176)</f>
        <v>0</v>
      </c>
      <c r="K176" s="1115"/>
      <c r="L176" s="640"/>
      <c r="M176" s="1139"/>
      <c r="N176" s="1191"/>
      <c r="O176" s="1233"/>
      <c r="P176" s="1234"/>
      <c r="Q176" s="1234"/>
      <c r="R176" s="1234"/>
      <c r="S176" s="1234"/>
      <c r="T176" s="1247"/>
      <c r="U176" s="762"/>
      <c r="V176" s="762"/>
      <c r="W176" s="25">
        <f t="shared" si="51"/>
        <v>0</v>
      </c>
    </row>
    <row r="177" spans="1:23" ht="15.75" thickBot="1">
      <c r="A177" s="12" t="s">
        <v>144</v>
      </c>
      <c r="B177" s="1125"/>
      <c r="C177" s="583"/>
      <c r="D177" s="583"/>
      <c r="E177" s="583"/>
      <c r="F177" s="841"/>
      <c r="G177" s="841"/>
      <c r="H177" s="841"/>
      <c r="I177" s="1278"/>
      <c r="J177" s="1135">
        <f>SUM(B177:H177)</f>
        <v>0</v>
      </c>
      <c r="K177" s="1136"/>
      <c r="L177" s="639"/>
      <c r="M177" s="1137"/>
      <c r="N177" s="1190"/>
      <c r="O177" s="1245"/>
      <c r="P177" s="1246"/>
      <c r="Q177" s="1246"/>
      <c r="R177" s="1246"/>
      <c r="S177" s="1246"/>
      <c r="T177" s="1240"/>
      <c r="U177" s="761"/>
      <c r="V177" s="761"/>
      <c r="W177" s="1020">
        <f t="shared" si="51"/>
        <v>0</v>
      </c>
    </row>
    <row r="178" spans="1:23" ht="16.5" thickBot="1">
      <c r="A178" s="13" t="s">
        <v>145</v>
      </c>
      <c r="B178" s="1103">
        <f>SUM(B176:B177)</f>
        <v>0</v>
      </c>
      <c r="C178" s="577">
        <f>SUM(C176:C177)</f>
        <v>0</v>
      </c>
      <c r="D178" s="577">
        <f>SUM(D176:D177)</f>
        <v>0</v>
      </c>
      <c r="E178" s="577"/>
      <c r="F178" s="837">
        <f>SUM(F176:F177)</f>
        <v>0</v>
      </c>
      <c r="G178" s="837"/>
      <c r="H178" s="837">
        <f>SUM(H176:H177)</f>
        <v>0</v>
      </c>
      <c r="I178" s="1275">
        <f>SUM(I176:I177)</f>
        <v>0</v>
      </c>
      <c r="J178" s="1105">
        <f>SUM(J176:J177)</f>
        <v>0</v>
      </c>
      <c r="K178" s="1106"/>
      <c r="L178" s="633">
        <f>SUM(L176:L177)</f>
        <v>0</v>
      </c>
      <c r="M178" s="1107">
        <f>SUM(M176:M177)</f>
        <v>0</v>
      </c>
      <c r="N178" s="1182">
        <f>SUM(N176:N177)</f>
        <v>0</v>
      </c>
      <c r="O178" s="1228"/>
      <c r="P178" s="1104"/>
      <c r="Q178" s="1104"/>
      <c r="R178" s="1104"/>
      <c r="S178" s="1104"/>
      <c r="T178" s="1229">
        <f>SUM(T176:T177)</f>
        <v>0</v>
      </c>
      <c r="U178" s="753">
        <f>SUM(U176:U177)</f>
        <v>0</v>
      </c>
      <c r="V178" s="753">
        <f>SUM(V176:V177)</f>
        <v>0</v>
      </c>
      <c r="W178" s="1108">
        <f t="shared" si="51"/>
        <v>0</v>
      </c>
    </row>
    <row r="179" spans="1:23" ht="30.75" thickBot="1">
      <c r="A179" s="594" t="s">
        <v>146</v>
      </c>
      <c r="B179" s="1331"/>
      <c r="C179" s="618"/>
      <c r="D179" s="618"/>
      <c r="E179" s="618"/>
      <c r="F179" s="847"/>
      <c r="G179" s="847"/>
      <c r="H179" s="847"/>
      <c r="I179" s="1285"/>
      <c r="J179" s="1156">
        <f>SUM(B179:H179)</f>
        <v>0</v>
      </c>
      <c r="K179" s="1157"/>
      <c r="L179" s="646"/>
      <c r="M179" s="1158"/>
      <c r="N179" s="1198"/>
      <c r="O179" s="1255"/>
      <c r="P179" s="1256"/>
      <c r="Q179" s="1256"/>
      <c r="R179" s="1256"/>
      <c r="S179" s="1256"/>
      <c r="T179" s="1257"/>
      <c r="U179" s="770"/>
      <c r="V179" s="770"/>
      <c r="W179" s="25">
        <f t="shared" si="51"/>
        <v>0</v>
      </c>
    </row>
    <row r="180" spans="1:23" ht="16.5" thickBot="1">
      <c r="A180" s="13" t="s">
        <v>147</v>
      </c>
      <c r="B180" s="1103">
        <f>B179</f>
        <v>0</v>
      </c>
      <c r="C180" s="577">
        <f>C179</f>
        <v>0</v>
      </c>
      <c r="D180" s="577">
        <f>D179</f>
        <v>0</v>
      </c>
      <c r="E180" s="577"/>
      <c r="F180" s="837">
        <f>F179</f>
        <v>0</v>
      </c>
      <c r="G180" s="837"/>
      <c r="H180" s="837">
        <f>H179</f>
        <v>0</v>
      </c>
      <c r="I180" s="1275">
        <f>I179</f>
        <v>0</v>
      </c>
      <c r="J180" s="1105">
        <f>J179</f>
        <v>0</v>
      </c>
      <c r="K180" s="1106"/>
      <c r="L180" s="633">
        <f>L179</f>
        <v>0</v>
      </c>
      <c r="M180" s="1107">
        <f>M179</f>
        <v>0</v>
      </c>
      <c r="N180" s="1182">
        <f>N179</f>
        <v>0</v>
      </c>
      <c r="O180" s="1228"/>
      <c r="P180" s="1104"/>
      <c r="Q180" s="1104"/>
      <c r="R180" s="1104"/>
      <c r="S180" s="1104"/>
      <c r="T180" s="1229">
        <f>T179</f>
        <v>0</v>
      </c>
      <c r="U180" s="753">
        <f>U179</f>
        <v>0</v>
      </c>
      <c r="V180" s="753">
        <f>V179</f>
        <v>0</v>
      </c>
      <c r="W180" s="1108">
        <f t="shared" si="51"/>
        <v>0</v>
      </c>
    </row>
    <row r="181" spans="1:23" ht="30.75" thickBot="1">
      <c r="A181" s="594" t="s">
        <v>175</v>
      </c>
      <c r="B181" s="1331"/>
      <c r="C181" s="618"/>
      <c r="D181" s="618"/>
      <c r="E181" s="618"/>
      <c r="F181" s="847"/>
      <c r="G181" s="847"/>
      <c r="H181" s="847"/>
      <c r="I181" s="1285"/>
      <c r="J181" s="1156"/>
      <c r="K181" s="1157"/>
      <c r="L181" s="646"/>
      <c r="M181" s="1158"/>
      <c r="N181" s="1198"/>
      <c r="O181" s="1255"/>
      <c r="P181" s="1256"/>
      <c r="Q181" s="1256"/>
      <c r="R181" s="1256"/>
      <c r="S181" s="1256"/>
      <c r="T181" s="1257"/>
      <c r="U181" s="770"/>
      <c r="V181" s="770"/>
      <c r="W181" s="25">
        <f t="shared" si="51"/>
        <v>0</v>
      </c>
    </row>
    <row r="182" spans="1:23" ht="32.25" thickBot="1">
      <c r="A182" s="13" t="s">
        <v>148</v>
      </c>
      <c r="B182" s="1103">
        <f>B181</f>
        <v>0</v>
      </c>
      <c r="C182" s="577">
        <f>C181</f>
        <v>0</v>
      </c>
      <c r="D182" s="577">
        <f>D181</f>
        <v>0</v>
      </c>
      <c r="E182" s="577"/>
      <c r="F182" s="837">
        <f>F181</f>
        <v>0</v>
      </c>
      <c r="G182" s="837"/>
      <c r="H182" s="837">
        <f>H181</f>
        <v>0</v>
      </c>
      <c r="I182" s="1275">
        <f>I181</f>
        <v>0</v>
      </c>
      <c r="J182" s="1105">
        <f>J181</f>
        <v>0</v>
      </c>
      <c r="K182" s="1106"/>
      <c r="L182" s="633">
        <f>L181</f>
        <v>0</v>
      </c>
      <c r="M182" s="1107">
        <f>M181</f>
        <v>0</v>
      </c>
      <c r="N182" s="1182">
        <f>N181</f>
        <v>0</v>
      </c>
      <c r="O182" s="1228"/>
      <c r="P182" s="1104"/>
      <c r="Q182" s="1104"/>
      <c r="R182" s="1104"/>
      <c r="S182" s="1104"/>
      <c r="T182" s="1229">
        <f>T181</f>
        <v>0</v>
      </c>
      <c r="U182" s="753">
        <f>U181</f>
        <v>0</v>
      </c>
      <c r="V182" s="753">
        <f>V181</f>
        <v>0</v>
      </c>
      <c r="W182" s="1108">
        <f t="shared" si="51"/>
        <v>0</v>
      </c>
    </row>
    <row r="183" spans="1:23" ht="30">
      <c r="A183" s="527" t="s">
        <v>149</v>
      </c>
      <c r="B183" s="1033"/>
      <c r="C183" s="543"/>
      <c r="D183" s="543"/>
      <c r="E183" s="543"/>
      <c r="F183" s="824"/>
      <c r="G183" s="824"/>
      <c r="H183" s="824"/>
      <c r="I183" s="1261"/>
      <c r="J183" s="1114">
        <f>SUM(B183:H183)</f>
        <v>0</v>
      </c>
      <c r="K183" s="1115"/>
      <c r="L183" s="647"/>
      <c r="M183" s="1139"/>
      <c r="N183" s="1191"/>
      <c r="O183" s="1233"/>
      <c r="P183" s="1234"/>
      <c r="Q183" s="1234"/>
      <c r="R183" s="1234"/>
      <c r="S183" s="1234"/>
      <c r="T183" s="1258"/>
      <c r="U183" s="762"/>
      <c r="V183" s="762"/>
      <c r="W183" s="25">
        <f t="shared" si="51"/>
        <v>0</v>
      </c>
    </row>
    <row r="184" spans="1:23">
      <c r="A184" s="10" t="s">
        <v>150</v>
      </c>
      <c r="B184" s="1062">
        <f>B183</f>
        <v>0</v>
      </c>
      <c r="C184" s="549">
        <f>C183</f>
        <v>0</v>
      </c>
      <c r="D184" s="549">
        <f>D183</f>
        <v>0</v>
      </c>
      <c r="E184" s="549"/>
      <c r="F184" s="833">
        <f>F183</f>
        <v>0</v>
      </c>
      <c r="G184" s="833"/>
      <c r="H184" s="833">
        <f>H183</f>
        <v>0</v>
      </c>
      <c r="I184" s="1270">
        <f>I183</f>
        <v>0</v>
      </c>
      <c r="J184" s="1159">
        <f>J183</f>
        <v>0</v>
      </c>
      <c r="K184" s="1065"/>
      <c r="L184" s="27">
        <f>L183</f>
        <v>0</v>
      </c>
      <c r="M184" s="1080">
        <f>M183</f>
        <v>0</v>
      </c>
      <c r="N184" s="1172">
        <f>N183</f>
        <v>0</v>
      </c>
      <c r="O184" s="1218"/>
      <c r="P184" s="1063"/>
      <c r="Q184" s="1063"/>
      <c r="R184" s="1063"/>
      <c r="S184" s="1063"/>
      <c r="T184" s="1219">
        <f>T183</f>
        <v>0</v>
      </c>
      <c r="U184" s="746">
        <f>U183</f>
        <v>0</v>
      </c>
      <c r="V184" s="746">
        <f>V183</f>
        <v>0</v>
      </c>
      <c r="W184" s="1019">
        <f t="shared" si="51"/>
        <v>0</v>
      </c>
    </row>
    <row r="185" spans="1:23" ht="30">
      <c r="A185" s="2" t="s">
        <v>151</v>
      </c>
      <c r="B185" s="1040"/>
      <c r="C185" s="544"/>
      <c r="D185" s="544"/>
      <c r="E185" s="544"/>
      <c r="F185" s="825"/>
      <c r="G185" s="825"/>
      <c r="H185" s="825"/>
      <c r="I185" s="1262"/>
      <c r="J185" s="1122">
        <f>SUM(B185:H185)</f>
        <v>0</v>
      </c>
      <c r="K185" s="1123"/>
      <c r="L185" s="648"/>
      <c r="M185" s="1134"/>
      <c r="N185" s="1189"/>
      <c r="O185" s="1237"/>
      <c r="P185" s="1238"/>
      <c r="Q185" s="1238"/>
      <c r="R185" s="1238"/>
      <c r="S185" s="1238"/>
      <c r="T185" s="1259"/>
      <c r="U185" s="760"/>
      <c r="V185" s="760"/>
      <c r="W185" s="1019">
        <f t="shared" si="51"/>
        <v>0</v>
      </c>
    </row>
    <row r="186" spans="1:23">
      <c r="A186" s="10" t="s">
        <v>152</v>
      </c>
      <c r="B186" s="1062">
        <f>B185</f>
        <v>0</v>
      </c>
      <c r="C186" s="549">
        <f>C185</f>
        <v>0</v>
      </c>
      <c r="D186" s="549">
        <f>D185</f>
        <v>0</v>
      </c>
      <c r="E186" s="549"/>
      <c r="F186" s="833">
        <f>F185</f>
        <v>0</v>
      </c>
      <c r="G186" s="833"/>
      <c r="H186" s="833">
        <f>H185</f>
        <v>0</v>
      </c>
      <c r="I186" s="1270">
        <f>I185</f>
        <v>0</v>
      </c>
      <c r="J186" s="1159">
        <f>J185</f>
        <v>0</v>
      </c>
      <c r="K186" s="1065"/>
      <c r="L186" s="27">
        <f>L185</f>
        <v>0</v>
      </c>
      <c r="M186" s="1080">
        <f>M185</f>
        <v>0</v>
      </c>
      <c r="N186" s="1172">
        <f>N185</f>
        <v>0</v>
      </c>
      <c r="O186" s="1218"/>
      <c r="P186" s="1063"/>
      <c r="Q186" s="1063"/>
      <c r="R186" s="1063"/>
      <c r="S186" s="1063"/>
      <c r="T186" s="1219">
        <f>T185</f>
        <v>0</v>
      </c>
      <c r="U186" s="746">
        <f>U185</f>
        <v>0</v>
      </c>
      <c r="V186" s="746">
        <f>V185</f>
        <v>0</v>
      </c>
      <c r="W186" s="1019">
        <f t="shared" si="51"/>
        <v>0</v>
      </c>
    </row>
    <row r="187" spans="1:23">
      <c r="A187" s="10" t="s">
        <v>153</v>
      </c>
      <c r="B187" s="1062"/>
      <c r="C187" s="549"/>
      <c r="D187" s="549"/>
      <c r="E187" s="549"/>
      <c r="F187" s="833"/>
      <c r="G187" s="833"/>
      <c r="H187" s="833"/>
      <c r="I187" s="1270"/>
      <c r="J187" s="1122">
        <f>SUM(B187:H187)</f>
        <v>0</v>
      </c>
      <c r="K187" s="1123"/>
      <c r="L187" s="27"/>
      <c r="M187" s="1124"/>
      <c r="N187" s="1186"/>
      <c r="O187" s="1237"/>
      <c r="P187" s="1238"/>
      <c r="Q187" s="1238"/>
      <c r="R187" s="1238"/>
      <c r="S187" s="1238"/>
      <c r="T187" s="1219"/>
      <c r="U187" s="757"/>
      <c r="V187" s="757"/>
      <c r="W187" s="1019">
        <f t="shared" si="51"/>
        <v>0</v>
      </c>
    </row>
    <row r="188" spans="1:23">
      <c r="A188" s="10" t="s">
        <v>154</v>
      </c>
      <c r="B188" s="1062"/>
      <c r="C188" s="549"/>
      <c r="D188" s="549"/>
      <c r="E188" s="549"/>
      <c r="F188" s="833"/>
      <c r="G188" s="833"/>
      <c r="H188" s="833"/>
      <c r="I188" s="1270"/>
      <c r="J188" s="1122">
        <f>SUM(B188:H188)</f>
        <v>0</v>
      </c>
      <c r="K188" s="1123"/>
      <c r="L188" s="27"/>
      <c r="M188" s="1101"/>
      <c r="N188" s="1181">
        <v>50853063</v>
      </c>
      <c r="O188" s="1237"/>
      <c r="P188" s="1238"/>
      <c r="Q188" s="1238"/>
      <c r="R188" s="1238"/>
      <c r="S188" s="1238"/>
      <c r="T188" s="1219"/>
      <c r="U188" s="751"/>
      <c r="V188" s="751"/>
      <c r="W188" s="1019">
        <f t="shared" si="51"/>
        <v>50853063</v>
      </c>
    </row>
    <row r="189" spans="1:23" ht="15.75" thickBot="1">
      <c r="A189" s="12" t="s">
        <v>155</v>
      </c>
      <c r="B189" s="1125">
        <f>B184+B186+B187+B188</f>
        <v>0</v>
      </c>
      <c r="C189" s="583">
        <f>C184+C186+C187+C188</f>
        <v>0</v>
      </c>
      <c r="D189" s="583">
        <f>D184+D186+D187+D188</f>
        <v>0</v>
      </c>
      <c r="E189" s="583"/>
      <c r="F189" s="841">
        <f>F184+F186+F187+F188</f>
        <v>0</v>
      </c>
      <c r="G189" s="841"/>
      <c r="H189" s="841">
        <f>H184+H186+H187+H188</f>
        <v>0</v>
      </c>
      <c r="I189" s="1278">
        <f>I184+I186+I187+I188</f>
        <v>0</v>
      </c>
      <c r="J189" s="1127">
        <f>J184+J186+J187+J188</f>
        <v>0</v>
      </c>
      <c r="K189" s="1128"/>
      <c r="L189" s="639">
        <f>L184+L186+L187+L188</f>
        <v>0</v>
      </c>
      <c r="M189" s="1129"/>
      <c r="N189" s="1187">
        <f>N184+N186+N187+N188</f>
        <v>50853063</v>
      </c>
      <c r="O189" s="1239"/>
      <c r="P189" s="1126"/>
      <c r="Q189" s="1126"/>
      <c r="R189" s="1126"/>
      <c r="S189" s="1126"/>
      <c r="T189" s="1240">
        <f>T184+T186+T187+T188</f>
        <v>0</v>
      </c>
      <c r="U189" s="769">
        <f>U184+U186+U187+U188</f>
        <v>0</v>
      </c>
      <c r="V189" s="769">
        <f>V184+V186+V187+V188</f>
        <v>0</v>
      </c>
      <c r="W189" s="1020">
        <f t="shared" si="51"/>
        <v>50853063</v>
      </c>
    </row>
    <row r="190" spans="1:23" ht="16.5" thickBot="1">
      <c r="A190" s="13" t="s">
        <v>156</v>
      </c>
      <c r="B190" s="1103">
        <f>B189</f>
        <v>0</v>
      </c>
      <c r="C190" s="577">
        <f>C189</f>
        <v>0</v>
      </c>
      <c r="D190" s="577">
        <f>D189</f>
        <v>0</v>
      </c>
      <c r="E190" s="577"/>
      <c r="F190" s="837">
        <f>F189</f>
        <v>0</v>
      </c>
      <c r="G190" s="837"/>
      <c r="H190" s="837">
        <f>H189</f>
        <v>0</v>
      </c>
      <c r="I190" s="1275">
        <f>I189</f>
        <v>0</v>
      </c>
      <c r="J190" s="1105">
        <f>J189</f>
        <v>0</v>
      </c>
      <c r="K190" s="1106"/>
      <c r="L190" s="633">
        <f>L189</f>
        <v>0</v>
      </c>
      <c r="M190" s="1107">
        <f>M189</f>
        <v>0</v>
      </c>
      <c r="N190" s="1182">
        <f>N189</f>
        <v>50853063</v>
      </c>
      <c r="O190" s="1228"/>
      <c r="P190" s="1104"/>
      <c r="Q190" s="1104"/>
      <c r="R190" s="1104"/>
      <c r="S190" s="1104"/>
      <c r="T190" s="1229">
        <f>T189</f>
        <v>0</v>
      </c>
      <c r="U190" s="753">
        <f>U189</f>
        <v>0</v>
      </c>
      <c r="V190" s="753">
        <f>V189</f>
        <v>0</v>
      </c>
      <c r="W190" s="1108">
        <f t="shared" si="51"/>
        <v>50853063</v>
      </c>
    </row>
    <row r="191" spans="1:23" ht="19.5" thickBot="1">
      <c r="A191" s="17" t="s">
        <v>157</v>
      </c>
      <c r="B191" s="1148">
        <f>B139+B145+B164+B175+B178+B180+B182+B190</f>
        <v>0</v>
      </c>
      <c r="C191" s="18">
        <f>C139+C145+C164+C175+C178+C180+C182+C190</f>
        <v>0</v>
      </c>
      <c r="D191" s="18">
        <f>D139+D145+D164+D175+D178+D180+D182+D190</f>
        <v>0</v>
      </c>
      <c r="E191" s="18"/>
      <c r="F191" s="18">
        <f>F139+F145+F164+F175+F178+F180+F182+F190</f>
        <v>0</v>
      </c>
      <c r="G191" s="18"/>
      <c r="H191" s="18">
        <f>H139+H145+H164+H175+H178+H180+H182+H190</f>
        <v>0</v>
      </c>
      <c r="I191" s="18">
        <f>I139+I145+I164+I175+I178+I180+I182+I190</f>
        <v>0</v>
      </c>
      <c r="J191" s="19">
        <f>J139+J145+J164+J175+J178+J180+J182+J190</f>
        <v>0</v>
      </c>
      <c r="K191" s="1148"/>
      <c r="L191" s="19">
        <f>L139+L145+L164+L175+L178+L180+L182+L190</f>
        <v>0</v>
      </c>
      <c r="M191" s="20">
        <f>M139+M145+M164+M175+M178+M180+M182+M190</f>
        <v>5000</v>
      </c>
      <c r="N191" s="20">
        <f>N139+N145+N164+N175+N178+N180+N182+N190</f>
        <v>50853063</v>
      </c>
      <c r="O191" s="18">
        <f>O175+O178+O180+O182+O190</f>
        <v>0</v>
      </c>
      <c r="P191" s="18">
        <f>P175+P178+P180+P182+P190</f>
        <v>0</v>
      </c>
      <c r="Q191" s="18">
        <f>Q175+Q178+Q180+Q182+Q190</f>
        <v>0</v>
      </c>
      <c r="R191" s="18">
        <f>R175+R178+R180+R182+R190</f>
        <v>0</v>
      </c>
      <c r="S191" s="18">
        <f>S175+S178+S180+S182+S190</f>
        <v>13923793.720000001</v>
      </c>
      <c r="T191" s="19">
        <f>T139+T145+T164+T175+T178+T180+T182+T190</f>
        <v>13923793.720000001</v>
      </c>
      <c r="U191" s="20">
        <f>U139+U145+U164+U175+U178+U180+U182+U190</f>
        <v>0</v>
      </c>
      <c r="V191" s="20">
        <f>V139+V145+V164+V175+V178+V180+V182+V190</f>
        <v>0</v>
      </c>
      <c r="W191" s="1315">
        <f t="shared" si="51"/>
        <v>64781856.719999999</v>
      </c>
    </row>
    <row r="192" spans="1:23" ht="15.75" thickBot="1">
      <c r="J192" s="1010"/>
      <c r="M192" s="1010"/>
      <c r="N192" s="1010"/>
      <c r="T192" s="1010"/>
      <c r="W192" s="1332"/>
    </row>
    <row r="193" spans="1:23">
      <c r="A193" s="1333" t="s">
        <v>696</v>
      </c>
      <c r="B193" s="1334">
        <f>J191+L191+M191</f>
        <v>5000</v>
      </c>
      <c r="J193" s="1010"/>
      <c r="M193" s="1010"/>
      <c r="N193" s="1010"/>
      <c r="T193" s="1010"/>
      <c r="W193" s="1332"/>
    </row>
    <row r="194" spans="1:23">
      <c r="A194" s="1335" t="s">
        <v>697</v>
      </c>
      <c r="B194" s="1336">
        <f>J126+L126+M126</f>
        <v>35117462.590000004</v>
      </c>
      <c r="J194" s="1010"/>
      <c r="M194" s="1010"/>
      <c r="N194" s="1010"/>
      <c r="T194" s="1337"/>
      <c r="W194" s="1332"/>
    </row>
    <row r="195" spans="1:23">
      <c r="A195" s="1335" t="s">
        <v>611</v>
      </c>
      <c r="B195" s="1336">
        <f>B193-B194</f>
        <v>-35112462.590000004</v>
      </c>
      <c r="J195" s="1010"/>
      <c r="M195" s="1337"/>
      <c r="N195" s="1010"/>
      <c r="T195" s="1338"/>
      <c r="U195" s="655"/>
      <c r="W195" s="1332"/>
    </row>
    <row r="196" spans="1:23">
      <c r="A196" s="1335" t="s">
        <v>698</v>
      </c>
      <c r="B196" s="1336">
        <f>17048850+4800000+3798600+1190100</f>
        <v>26837550</v>
      </c>
      <c r="J196" s="1010"/>
      <c r="N196" s="1010"/>
      <c r="T196" s="1337"/>
      <c r="W196" s="1332"/>
    </row>
    <row r="197" spans="1:23" ht="15.75" thickBot="1">
      <c r="A197" s="1537" t="s">
        <v>699</v>
      </c>
      <c r="B197" s="1538">
        <f>(B195+B196)*-1</f>
        <v>8274912.5900000036</v>
      </c>
      <c r="J197" s="1010"/>
      <c r="N197" s="1010"/>
      <c r="W197" s="1332"/>
    </row>
    <row r="198" spans="1:23" ht="15.75" thickBot="1">
      <c r="C198" s="1342" t="s">
        <v>704</v>
      </c>
      <c r="D198" s="1751" t="s">
        <v>702</v>
      </c>
      <c r="E198" s="1752"/>
      <c r="F198" s="1752"/>
      <c r="G198" s="1753"/>
      <c r="I198" s="1751" t="s">
        <v>705</v>
      </c>
      <c r="J198" s="1752"/>
      <c r="K198" s="1752"/>
      <c r="L198" s="1753"/>
      <c r="N198" s="1751" t="s">
        <v>703</v>
      </c>
      <c r="O198" s="1752"/>
      <c r="P198" s="1752"/>
      <c r="Q198" s="1753"/>
      <c r="W198" s="1332"/>
    </row>
    <row r="199" spans="1:23">
      <c r="A199" s="1333" t="s">
        <v>700</v>
      </c>
      <c r="B199" s="1334">
        <f>T191</f>
        <v>13923793.720000001</v>
      </c>
      <c r="C199" s="1345">
        <f>G199+L199+Q199</f>
        <v>13923793.720000001</v>
      </c>
      <c r="D199" s="1783" t="s">
        <v>700</v>
      </c>
      <c r="E199" s="1784"/>
      <c r="F199" s="1785"/>
      <c r="G199" s="1343">
        <f>S169*1.27+S171*68.44%</f>
        <v>3711841.8219680004</v>
      </c>
      <c r="I199" s="1783" t="s">
        <v>700</v>
      </c>
      <c r="J199" s="1784"/>
      <c r="K199" s="1785"/>
      <c r="L199" s="1343">
        <f>S165*1.27+S173+S171*31.56%</f>
        <v>10211951.898032</v>
      </c>
      <c r="N199" s="1783" t="s">
        <v>700</v>
      </c>
      <c r="O199" s="1784"/>
      <c r="P199" s="1785"/>
      <c r="Q199" s="1343">
        <f>AI191</f>
        <v>0</v>
      </c>
      <c r="W199" s="1332"/>
    </row>
    <row r="200" spans="1:23">
      <c r="A200" s="1335" t="s">
        <v>701</v>
      </c>
      <c r="B200" s="1336">
        <f>T126</f>
        <v>29664393.969999999</v>
      </c>
      <c r="C200" s="1345">
        <f>G200+L200+Q200</f>
        <v>29664393.970000003</v>
      </c>
      <c r="D200" s="1774" t="s">
        <v>701</v>
      </c>
      <c r="E200" s="1775"/>
      <c r="F200" s="1776"/>
      <c r="G200" s="1344">
        <f>(T126-T53*1.27-S72-S111)*70.16%+S169*27%+680783+S111</f>
        <v>19874282.459752001</v>
      </c>
      <c r="I200" s="1774" t="s">
        <v>701</v>
      </c>
      <c r="J200" s="1775"/>
      <c r="K200" s="1776"/>
      <c r="L200" s="1344">
        <f>(T126-T53*1.27-S72-S111)*29.46%+S165*27%</f>
        <v>9611955.7309620008</v>
      </c>
      <c r="N200" s="1774" t="s">
        <v>701</v>
      </c>
      <c r="O200" s="1775"/>
      <c r="P200" s="1776"/>
      <c r="Q200" s="1344">
        <f>T53*1.27+(T126-T53*1.27-S72-S111)*0.38%</f>
        <v>178155.779286</v>
      </c>
      <c r="W200" s="1332"/>
    </row>
    <row r="201" spans="1:23">
      <c r="A201" s="1335" t="s">
        <v>611</v>
      </c>
      <c r="B201" s="1336">
        <f>B199-B200</f>
        <v>-15740600.249999998</v>
      </c>
      <c r="C201" s="1345">
        <f>G201+L201+Q201</f>
        <v>-15740600.250000002</v>
      </c>
      <c r="D201" s="1774" t="s">
        <v>611</v>
      </c>
      <c r="E201" s="1775"/>
      <c r="F201" s="1776"/>
      <c r="G201" s="1344">
        <f>G199-G200</f>
        <v>-16162440.637784</v>
      </c>
      <c r="I201" s="1774" t="s">
        <v>611</v>
      </c>
      <c r="J201" s="1775"/>
      <c r="K201" s="1776"/>
      <c r="L201" s="1344">
        <f>L199-L200</f>
        <v>599996.1670699995</v>
      </c>
      <c r="M201" s="1339"/>
      <c r="N201" s="1774" t="s">
        <v>611</v>
      </c>
      <c r="O201" s="1775"/>
      <c r="P201" s="1776"/>
      <c r="Q201" s="1344">
        <f>Q199-Q200</f>
        <v>-178155.779286</v>
      </c>
      <c r="W201" s="1332"/>
    </row>
    <row r="202" spans="1:23">
      <c r="A202" s="1335" t="s">
        <v>698</v>
      </c>
      <c r="B202" s="1336">
        <f>6864000+7101972+153330</f>
        <v>14119302</v>
      </c>
      <c r="C202" s="1345">
        <f>G202+L202+Q202</f>
        <v>14119302</v>
      </c>
      <c r="D202" s="1774" t="s">
        <v>698</v>
      </c>
      <c r="E202" s="1775"/>
      <c r="F202" s="1776"/>
      <c r="G202" s="1344">
        <f>6864000+7101972</f>
        <v>13965972</v>
      </c>
      <c r="I202" s="1774" t="s">
        <v>698</v>
      </c>
      <c r="J202" s="1775"/>
      <c r="K202" s="1776"/>
      <c r="L202" s="1344">
        <v>0</v>
      </c>
      <c r="M202" s="1340"/>
      <c r="N202" s="1774" t="s">
        <v>698</v>
      </c>
      <c r="O202" s="1775"/>
      <c r="P202" s="1776"/>
      <c r="Q202" s="1344">
        <f>153330</f>
        <v>153330</v>
      </c>
      <c r="W202" s="1332"/>
    </row>
    <row r="203" spans="1:23" ht="15.75" thickBot="1">
      <c r="A203" s="1537" t="s">
        <v>699</v>
      </c>
      <c r="B203" s="1538">
        <f>(B201+B202)*-1</f>
        <v>1621298.2499999981</v>
      </c>
      <c r="C203" s="1345">
        <f>G203+L203+Q203</f>
        <v>1621298.2500000009</v>
      </c>
      <c r="D203" s="1777" t="s">
        <v>699</v>
      </c>
      <c r="E203" s="1778"/>
      <c r="F203" s="1779"/>
      <c r="G203" s="1346">
        <f>(G201+G202)*-1</f>
        <v>2196468.6377840005</v>
      </c>
      <c r="H203" s="1339"/>
      <c r="I203" s="1777" t="s">
        <v>699</v>
      </c>
      <c r="J203" s="1778"/>
      <c r="K203" s="1779"/>
      <c r="L203" s="1346">
        <f>(L201+L202)*-1</f>
        <v>-599996.1670699995</v>
      </c>
      <c r="M203" s="1339"/>
      <c r="N203" s="1777" t="s">
        <v>699</v>
      </c>
      <c r="O203" s="1778"/>
      <c r="P203" s="1779"/>
      <c r="Q203" s="1346">
        <f>(Q201+Q202)*-1</f>
        <v>24825.779286000005</v>
      </c>
      <c r="W203" s="1332"/>
    </row>
    <row r="204" spans="1:23" ht="15.75" thickBot="1">
      <c r="G204" s="1342" t="s">
        <v>766</v>
      </c>
      <c r="L204" s="1342" t="s">
        <v>767</v>
      </c>
      <c r="Q204" s="1342" t="s">
        <v>766</v>
      </c>
    </row>
    <row r="205" spans="1:23">
      <c r="A205" s="1780" t="s">
        <v>761</v>
      </c>
      <c r="B205" s="1781"/>
      <c r="C205" s="1781"/>
      <c r="D205" s="1781"/>
      <c r="E205" s="1782"/>
      <c r="F205" s="1541" t="s">
        <v>768</v>
      </c>
      <c r="G205" s="1543">
        <f>T111</f>
        <v>635000</v>
      </c>
      <c r="H205" s="1339"/>
      <c r="I205" s="1339"/>
      <c r="J205" s="1339"/>
    </row>
    <row r="206" spans="1:23">
      <c r="A206" s="1335" t="s">
        <v>731</v>
      </c>
      <c r="B206" s="1451">
        <v>100000</v>
      </c>
      <c r="C206" s="1765" t="s">
        <v>762</v>
      </c>
      <c r="D206" s="1766"/>
      <c r="E206" s="1767"/>
      <c r="F206" s="1542" t="s">
        <v>769</v>
      </c>
      <c r="G206" s="1010">
        <f>G203-G205</f>
        <v>1561468.6377840005</v>
      </c>
      <c r="K206" s="1345"/>
    </row>
    <row r="207" spans="1:23" ht="30">
      <c r="A207" s="1452" t="s">
        <v>732</v>
      </c>
      <c r="B207" s="1451">
        <v>610000</v>
      </c>
      <c r="C207" s="1768"/>
      <c r="D207" s="1769"/>
      <c r="E207" s="1770"/>
      <c r="F207" s="1540"/>
      <c r="K207" s="1345"/>
    </row>
    <row r="208" spans="1:23">
      <c r="A208" s="1452" t="s">
        <v>733</v>
      </c>
      <c r="B208" s="1451">
        <v>90000</v>
      </c>
      <c r="C208" s="1768"/>
      <c r="D208" s="1769"/>
      <c r="E208" s="1770"/>
      <c r="F208" s="1540"/>
      <c r="G208" s="1533"/>
      <c r="H208" s="1533"/>
      <c r="I208" s="1533"/>
      <c r="J208" s="1533"/>
      <c r="K208" s="1345"/>
    </row>
    <row r="209" spans="1:11">
      <c r="A209" s="1452" t="s">
        <v>734</v>
      </c>
      <c r="B209" s="1451">
        <v>40000</v>
      </c>
      <c r="C209" s="1768"/>
      <c r="D209" s="1769"/>
      <c r="E209" s="1770"/>
      <c r="F209" s="1540"/>
      <c r="G209" s="1533"/>
      <c r="H209" s="1533"/>
      <c r="I209" s="1533"/>
      <c r="J209" s="1533"/>
      <c r="K209" s="1345"/>
    </row>
    <row r="210" spans="1:11">
      <c r="A210" s="1335" t="s">
        <v>735</v>
      </c>
      <c r="B210" s="1451">
        <v>60000</v>
      </c>
      <c r="C210" s="1768"/>
      <c r="D210" s="1769"/>
      <c r="E210" s="1770"/>
      <c r="F210" s="1540"/>
      <c r="G210" s="1533"/>
      <c r="H210" s="1533"/>
      <c r="I210" s="1533"/>
      <c r="J210" s="1533"/>
      <c r="K210" s="1345"/>
    </row>
    <row r="211" spans="1:11">
      <c r="A211" s="1335" t="s">
        <v>736</v>
      </c>
      <c r="B211" s="1451">
        <v>60000</v>
      </c>
      <c r="C211" s="1768"/>
      <c r="D211" s="1769"/>
      <c r="E211" s="1770"/>
      <c r="F211" s="1540"/>
      <c r="G211" s="1533"/>
      <c r="H211" s="1533"/>
      <c r="I211" s="1533"/>
      <c r="J211" s="1533"/>
      <c r="K211" s="1345"/>
    </row>
    <row r="212" spans="1:11">
      <c r="A212" s="1335" t="s">
        <v>737</v>
      </c>
      <c r="B212" s="1451">
        <v>150000</v>
      </c>
      <c r="C212" s="1768"/>
      <c r="D212" s="1769"/>
      <c r="E212" s="1770"/>
      <c r="F212" s="1540"/>
      <c r="G212" s="1533"/>
      <c r="H212" s="1533"/>
      <c r="I212" s="1533"/>
      <c r="J212" s="1533"/>
      <c r="K212" s="1345"/>
    </row>
    <row r="213" spans="1:11">
      <c r="A213" s="1335" t="s">
        <v>738</v>
      </c>
      <c r="B213" s="1451">
        <v>70000</v>
      </c>
      <c r="C213" s="1768"/>
      <c r="D213" s="1769"/>
      <c r="E213" s="1770"/>
      <c r="F213" s="1540"/>
      <c r="G213" s="1533"/>
      <c r="H213" s="1533"/>
      <c r="I213" s="1533"/>
      <c r="J213" s="1533"/>
      <c r="K213" s="1345"/>
    </row>
    <row r="214" spans="1:11">
      <c r="A214" s="1335" t="s">
        <v>739</v>
      </c>
      <c r="B214" s="1451">
        <v>60000</v>
      </c>
      <c r="C214" s="1768"/>
      <c r="D214" s="1769"/>
      <c r="E214" s="1770"/>
      <c r="F214" s="1540"/>
      <c r="G214" s="1533"/>
      <c r="H214" s="1533"/>
      <c r="I214" s="1533"/>
      <c r="J214" s="1533"/>
      <c r="K214" s="1345"/>
    </row>
    <row r="215" spans="1:11" ht="45">
      <c r="A215" s="1452" t="s">
        <v>770</v>
      </c>
      <c r="B215" s="1451">
        <v>482000</v>
      </c>
      <c r="C215" s="1768"/>
      <c r="D215" s="1769"/>
      <c r="E215" s="1770"/>
      <c r="F215" s="1540"/>
      <c r="K215" s="1345"/>
    </row>
    <row r="216" spans="1:11">
      <c r="A216" s="1335" t="s">
        <v>740</v>
      </c>
      <c r="B216" s="1451">
        <v>440000</v>
      </c>
      <c r="C216" s="1768"/>
      <c r="D216" s="1769"/>
      <c r="E216" s="1770"/>
      <c r="F216" s="1540"/>
      <c r="K216" s="1345"/>
    </row>
    <row r="217" spans="1:11">
      <c r="A217" s="1335" t="s">
        <v>741</v>
      </c>
      <c r="B217" s="1451">
        <v>110000</v>
      </c>
      <c r="C217" s="1768"/>
      <c r="D217" s="1769"/>
      <c r="E217" s="1770"/>
      <c r="F217" s="1540"/>
      <c r="K217" s="1345"/>
    </row>
    <row r="218" spans="1:11">
      <c r="A218" s="1335" t="s">
        <v>741</v>
      </c>
      <c r="B218" s="1451">
        <v>180000</v>
      </c>
      <c r="C218" s="1768"/>
      <c r="D218" s="1769"/>
      <c r="E218" s="1770"/>
      <c r="F218" s="1540"/>
      <c r="K218" s="1345"/>
    </row>
    <row r="219" spans="1:11">
      <c r="A219" s="1335" t="s">
        <v>742</v>
      </c>
      <c r="B219" s="1451">
        <v>289000</v>
      </c>
      <c r="C219" s="1768"/>
      <c r="D219" s="1769"/>
      <c r="E219" s="1770"/>
      <c r="F219" s="1540"/>
      <c r="K219" s="1345"/>
    </row>
    <row r="220" spans="1:11" ht="15.75" thickBot="1">
      <c r="A220" s="1453" t="s">
        <v>743</v>
      </c>
      <c r="B220" s="1454">
        <v>95000</v>
      </c>
      <c r="C220" s="1771"/>
      <c r="D220" s="1772"/>
      <c r="E220" s="1773"/>
      <c r="F220" s="1540"/>
      <c r="K220" s="1345"/>
    </row>
    <row r="221" spans="1:11">
      <c r="B221" s="1345"/>
    </row>
  </sheetData>
  <mergeCells count="48">
    <mergeCell ref="U127:U128"/>
    <mergeCell ref="V127:V128"/>
    <mergeCell ref="W127:W128"/>
    <mergeCell ref="A127:A128"/>
    <mergeCell ref="B127:J127"/>
    <mergeCell ref="K127:L127"/>
    <mergeCell ref="M127:M128"/>
    <mergeCell ref="N127:N128"/>
    <mergeCell ref="M64:M65"/>
    <mergeCell ref="N64:N65"/>
    <mergeCell ref="O127:T127"/>
    <mergeCell ref="N199:P199"/>
    <mergeCell ref="O64:T64"/>
    <mergeCell ref="D199:F199"/>
    <mergeCell ref="I199:K199"/>
    <mergeCell ref="A64:A65"/>
    <mergeCell ref="B64:J64"/>
    <mergeCell ref="K64:L64"/>
    <mergeCell ref="D200:F200"/>
    <mergeCell ref="I200:K200"/>
    <mergeCell ref="N200:P200"/>
    <mergeCell ref="D201:F201"/>
    <mergeCell ref="I201:K201"/>
    <mergeCell ref="N201:P201"/>
    <mergeCell ref="C206:E220"/>
    <mergeCell ref="D202:F202"/>
    <mergeCell ref="I202:K202"/>
    <mergeCell ref="N202:P202"/>
    <mergeCell ref="D203:F203"/>
    <mergeCell ref="I203:K203"/>
    <mergeCell ref="N203:P203"/>
    <mergeCell ref="A205:E205"/>
    <mergeCell ref="U64:U65"/>
    <mergeCell ref="V64:V65"/>
    <mergeCell ref="W64:W65"/>
    <mergeCell ref="D198:G198"/>
    <mergeCell ref="A1:W1"/>
    <mergeCell ref="A2:A3"/>
    <mergeCell ref="B2:J2"/>
    <mergeCell ref="K2:L2"/>
    <mergeCell ref="M2:M3"/>
    <mergeCell ref="N2:N3"/>
    <mergeCell ref="O2:T2"/>
    <mergeCell ref="U2:U3"/>
    <mergeCell ref="V2:V3"/>
    <mergeCell ref="W2:W3"/>
    <mergeCell ref="I198:L198"/>
    <mergeCell ref="N198:Q198"/>
  </mergeCells>
  <pageMargins left="0.7" right="0.7" top="0.75" bottom="0.75" header="0.3" footer="0.3"/>
  <pageSetup paperSize="8" scale="48" orientation="landscape" r:id="rId1"/>
  <rowBreaks count="3" manualBreakCount="3">
    <brk id="63" max="16383" man="1"/>
    <brk id="126" max="16383" man="1"/>
    <brk id="19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O77"/>
  <sheetViews>
    <sheetView tabSelected="1" view="pageBreakPreview" zoomScaleNormal="100" zoomScaleSheetLayoutView="100" workbookViewId="0">
      <selection activeCell="A30" sqref="A30:XFD34"/>
    </sheetView>
  </sheetViews>
  <sheetFormatPr defaultColWidth="9.140625" defaultRowHeight="15.75"/>
  <cols>
    <col min="1" max="1" width="4.140625" style="463" customWidth="1"/>
    <col min="2" max="2" width="26.7109375" style="462" customWidth="1"/>
    <col min="3" max="14" width="10.7109375" style="462" customWidth="1"/>
    <col min="15" max="15" width="13" style="463" customWidth="1"/>
    <col min="16" max="16384" width="9.140625" style="462"/>
  </cols>
  <sheetData>
    <row r="1" spans="1:15" ht="31.5" customHeight="1">
      <c r="A1" s="1881" t="s">
        <v>833</v>
      </c>
      <c r="B1" s="1882"/>
      <c r="C1" s="1882"/>
      <c r="D1" s="1882"/>
      <c r="E1" s="1882"/>
      <c r="F1" s="1882"/>
      <c r="G1" s="1882"/>
      <c r="H1" s="1882"/>
      <c r="I1" s="1882"/>
      <c r="J1" s="1882"/>
      <c r="K1" s="1882"/>
      <c r="L1" s="1882"/>
      <c r="M1" s="1882"/>
      <c r="N1" s="1882"/>
      <c r="O1" s="1882"/>
    </row>
    <row r="2" spans="1:15" ht="34.9" customHeight="1">
      <c r="A2" s="1883" t="s">
        <v>834</v>
      </c>
      <c r="B2" s="1884"/>
      <c r="C2" s="1884"/>
      <c r="D2" s="1884"/>
      <c r="E2" s="1884"/>
      <c r="F2" s="1884"/>
      <c r="G2" s="1884"/>
      <c r="H2" s="1884"/>
      <c r="I2" s="1884"/>
      <c r="J2" s="1884"/>
      <c r="K2" s="1884"/>
      <c r="L2" s="1884"/>
      <c r="M2" s="1884"/>
      <c r="N2" s="1884"/>
      <c r="O2" s="1884"/>
    </row>
    <row r="3" spans="1:15" s="463" customFormat="1" ht="26.1" customHeight="1" thickBot="1"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599" t="s">
        <v>649</v>
      </c>
    </row>
    <row r="4" spans="1:15" s="469" customFormat="1" ht="15" customHeight="1" thickBot="1">
      <c r="A4" s="465" t="s">
        <v>491</v>
      </c>
      <c r="B4" s="466" t="s">
        <v>176</v>
      </c>
      <c r="C4" s="466" t="s">
        <v>555</v>
      </c>
      <c r="D4" s="466" t="s">
        <v>556</v>
      </c>
      <c r="E4" s="466" t="s">
        <v>557</v>
      </c>
      <c r="F4" s="466" t="s">
        <v>558</v>
      </c>
      <c r="G4" s="466" t="s">
        <v>559</v>
      </c>
      <c r="H4" s="466" t="s">
        <v>560</v>
      </c>
      <c r="I4" s="466" t="s">
        <v>561</v>
      </c>
      <c r="J4" s="466" t="s">
        <v>562</v>
      </c>
      <c r="K4" s="466" t="s">
        <v>563</v>
      </c>
      <c r="L4" s="466" t="s">
        <v>564</v>
      </c>
      <c r="M4" s="466" t="s">
        <v>565</v>
      </c>
      <c r="N4" s="466" t="s">
        <v>566</v>
      </c>
      <c r="O4" s="467" t="s">
        <v>539</v>
      </c>
    </row>
    <row r="5" spans="1:15" s="469" customFormat="1" ht="16.5" thickBot="1">
      <c r="A5" s="468"/>
      <c r="B5" s="1864" t="s">
        <v>183</v>
      </c>
      <c r="C5" s="1865"/>
      <c r="D5" s="1865"/>
      <c r="E5" s="1865"/>
      <c r="F5" s="1865"/>
      <c r="G5" s="1865"/>
      <c r="H5" s="1865"/>
      <c r="I5" s="1865"/>
      <c r="J5" s="1865"/>
      <c r="K5" s="1865"/>
      <c r="L5" s="1865"/>
      <c r="M5" s="1865"/>
      <c r="N5" s="1865"/>
      <c r="O5" s="1866"/>
    </row>
    <row r="6" spans="1:15" s="478" customFormat="1">
      <c r="A6" s="470" t="s">
        <v>184</v>
      </c>
      <c r="B6" s="471" t="s">
        <v>602</v>
      </c>
      <c r="C6" s="600"/>
      <c r="D6" s="601">
        <f>C28</f>
        <v>82931800</v>
      </c>
      <c r="E6" s="601">
        <f t="shared" ref="E6:N6" si="0">D28</f>
        <v>83064812</v>
      </c>
      <c r="F6" s="601">
        <f t="shared" si="0"/>
        <v>71759379</v>
      </c>
      <c r="G6" s="601">
        <f t="shared" si="0"/>
        <v>70867516</v>
      </c>
      <c r="H6" s="601">
        <f t="shared" si="0"/>
        <v>51783353</v>
      </c>
      <c r="I6" s="601">
        <f t="shared" si="0"/>
        <v>51026490</v>
      </c>
      <c r="J6" s="601">
        <f t="shared" si="0"/>
        <v>49744127</v>
      </c>
      <c r="K6" s="601">
        <f t="shared" si="0"/>
        <v>30119564</v>
      </c>
      <c r="L6" s="601">
        <f t="shared" si="0"/>
        <v>22443501</v>
      </c>
      <c r="M6" s="601">
        <f t="shared" si="0"/>
        <v>20044638</v>
      </c>
      <c r="N6" s="601">
        <f t="shared" si="0"/>
        <v>10037770</v>
      </c>
      <c r="O6" s="602" t="s">
        <v>603</v>
      </c>
    </row>
    <row r="7" spans="1:15" s="478" customFormat="1" ht="22.5">
      <c r="A7" s="474" t="s">
        <v>198</v>
      </c>
      <c r="B7" s="475" t="s">
        <v>411</v>
      </c>
      <c r="C7" s="603">
        <f>'10. Előirányzat felhasználás'!C5</f>
        <v>7486773</v>
      </c>
      <c r="D7" s="603">
        <f>'10. Előirányzat felhasználás'!D5</f>
        <v>7486773</v>
      </c>
      <c r="E7" s="603">
        <f>'10. Előirányzat felhasználás'!E5</f>
        <v>7486773</v>
      </c>
      <c r="F7" s="603">
        <f>'10. Előirányzat felhasználás'!F5</f>
        <v>7486773</v>
      </c>
      <c r="G7" s="603">
        <f>'10. Előirányzat felhasználás'!G5</f>
        <v>7486773</v>
      </c>
      <c r="H7" s="603">
        <f>'10. Előirányzat felhasználás'!H5</f>
        <v>7486773</v>
      </c>
      <c r="I7" s="603">
        <f>'10. Előirányzat felhasználás'!I5</f>
        <v>7486773</v>
      </c>
      <c r="J7" s="603">
        <f>'10. Előirányzat felhasználás'!J5</f>
        <v>7486773</v>
      </c>
      <c r="K7" s="603">
        <f>'10. Előirányzat felhasználás'!K5</f>
        <v>7486773</v>
      </c>
      <c r="L7" s="603">
        <f>'10. Előirányzat felhasználás'!L5</f>
        <v>7486773</v>
      </c>
      <c r="M7" s="603">
        <f>'10. Előirányzat felhasználás'!M5</f>
        <v>7486773</v>
      </c>
      <c r="N7" s="603">
        <f>'10. Előirányzat felhasználás'!N5</f>
        <v>7486780</v>
      </c>
      <c r="O7" s="604">
        <f t="shared" ref="O7:O15" si="1">SUM(C7:N7)</f>
        <v>89841283</v>
      </c>
    </row>
    <row r="8" spans="1:15" s="478" customFormat="1" ht="14.1" customHeight="1">
      <c r="A8" s="474" t="s">
        <v>212</v>
      </c>
      <c r="B8" s="475" t="s">
        <v>567</v>
      </c>
      <c r="C8" s="603">
        <f>'10. Előirányzat felhasználás'!C6</f>
        <v>2506312</v>
      </c>
      <c r="D8" s="603">
        <f>'10. Előirányzat felhasználás'!D6</f>
        <v>2506308</v>
      </c>
      <c r="E8" s="603">
        <f>'10. Előirányzat felhasználás'!E6</f>
        <v>2506308</v>
      </c>
      <c r="F8" s="603">
        <f>'10. Előirányzat felhasználás'!F6</f>
        <v>1969433</v>
      </c>
      <c r="G8" s="603">
        <f>'10. Előirányzat felhasználás'!G6</f>
        <v>1969433</v>
      </c>
      <c r="H8" s="603">
        <f>'10. Előirányzat felhasználás'!H6</f>
        <v>1969433</v>
      </c>
      <c r="I8" s="603">
        <f>'10. Előirányzat felhasználás'!I6</f>
        <v>1969433</v>
      </c>
      <c r="J8" s="603">
        <f>'10. Előirányzat felhasználás'!J6</f>
        <v>1969433</v>
      </c>
      <c r="K8" s="603">
        <f>'10. Előirányzat felhasználás'!K6</f>
        <v>1969433</v>
      </c>
      <c r="L8" s="603">
        <f>'10. Előirányzat felhasználás'!L6</f>
        <v>1969433</v>
      </c>
      <c r="M8" s="603">
        <f>'10. Előirányzat felhasználás'!M6</f>
        <v>1969433</v>
      </c>
      <c r="N8" s="603">
        <f>'10. Előirányzat felhasználás'!N6</f>
        <v>1969433</v>
      </c>
      <c r="O8" s="604">
        <f t="shared" si="1"/>
        <v>25243825</v>
      </c>
    </row>
    <row r="9" spans="1:15" s="478" customFormat="1" ht="14.1" customHeight="1">
      <c r="A9" s="474" t="s">
        <v>381</v>
      </c>
      <c r="B9" s="479" t="s">
        <v>568</v>
      </c>
      <c r="C9" s="603">
        <f>'10. Előirányzat felhasználás'!C7</f>
        <v>0</v>
      </c>
      <c r="D9" s="603">
        <f>'10. Előirányzat felhasználás'!D7</f>
        <v>0</v>
      </c>
      <c r="E9" s="603">
        <f>'10. Előirányzat felhasználás'!E7</f>
        <v>0</v>
      </c>
      <c r="F9" s="603">
        <f>'10. Előirányzat felhasználás'!F7</f>
        <v>0</v>
      </c>
      <c r="G9" s="603">
        <f>'10. Előirányzat felhasználás'!G7</f>
        <v>0</v>
      </c>
      <c r="H9" s="603">
        <f>'10. Előirányzat felhasználás'!H7</f>
        <v>0</v>
      </c>
      <c r="I9" s="603">
        <f>'10. Előirányzat felhasználás'!I7</f>
        <v>0</v>
      </c>
      <c r="J9" s="603">
        <f>'10. Előirányzat felhasználás'!J7</f>
        <v>0</v>
      </c>
      <c r="K9" s="603">
        <f>'10. Előirányzat felhasználás'!K7</f>
        <v>0</v>
      </c>
      <c r="L9" s="603">
        <f>'10. Előirányzat felhasználás'!L7</f>
        <v>0</v>
      </c>
      <c r="M9" s="603">
        <f>'10. Előirányzat felhasználás'!M7</f>
        <v>0</v>
      </c>
      <c r="N9" s="603">
        <f>'10. Előirányzat felhasználás'!N7</f>
        <v>6181639</v>
      </c>
      <c r="O9" s="604">
        <f t="shared" si="1"/>
        <v>6181639</v>
      </c>
    </row>
    <row r="10" spans="1:15" s="478" customFormat="1" ht="14.1" customHeight="1">
      <c r="A10" s="474" t="s">
        <v>233</v>
      </c>
      <c r="B10" s="482" t="s">
        <v>5</v>
      </c>
      <c r="C10" s="603">
        <f>'10. Előirányzat felhasználás'!C8</f>
        <v>753200</v>
      </c>
      <c r="D10" s="603">
        <f>'10. Előirányzat felhasználás'!D8</f>
        <v>753200</v>
      </c>
      <c r="E10" s="603">
        <f>'10. Előirányzat felhasználás'!E8</f>
        <v>5649000</v>
      </c>
      <c r="F10" s="603">
        <f>'10. Előirányzat felhasználás'!F8</f>
        <v>753200</v>
      </c>
      <c r="G10" s="603">
        <f>'10. Előirányzat felhasználás'!G8</f>
        <v>753200</v>
      </c>
      <c r="H10" s="603">
        <f>'10. Előirányzat felhasználás'!H8</f>
        <v>753200</v>
      </c>
      <c r="I10" s="603">
        <f>'10. Előirányzat felhasználás'!I8</f>
        <v>753200</v>
      </c>
      <c r="J10" s="603">
        <f>'10. Előirányzat felhasználás'!J8</f>
        <v>753200</v>
      </c>
      <c r="K10" s="603">
        <f>'10. Előirányzat felhasználás'!K8</f>
        <v>5649000</v>
      </c>
      <c r="L10" s="603">
        <f>'10. Előirányzat felhasználás'!L8</f>
        <v>753200</v>
      </c>
      <c r="M10" s="603">
        <f>'10. Előirányzat felhasználás'!M8</f>
        <v>753200</v>
      </c>
      <c r="N10" s="603">
        <f>'10. Előirányzat felhasználás'!N8</f>
        <v>753200</v>
      </c>
      <c r="O10" s="604">
        <f t="shared" si="1"/>
        <v>18830000</v>
      </c>
    </row>
    <row r="11" spans="1:15" s="478" customFormat="1" ht="14.1" customHeight="1">
      <c r="A11" s="474" t="s">
        <v>255</v>
      </c>
      <c r="B11" s="482" t="s">
        <v>4</v>
      </c>
      <c r="C11" s="603">
        <f>'10. Előirányzat felhasználás'!C9</f>
        <v>1594457</v>
      </c>
      <c r="D11" s="603">
        <f>'10. Előirányzat felhasználás'!D9</f>
        <v>1594457</v>
      </c>
      <c r="E11" s="603">
        <f>'10. Előirányzat felhasználás'!E9</f>
        <v>1594457</v>
      </c>
      <c r="F11" s="603">
        <f>'10. Előirányzat felhasználás'!F9</f>
        <v>1594457</v>
      </c>
      <c r="G11" s="603">
        <f>'10. Előirányzat felhasználás'!G9</f>
        <v>1594457</v>
      </c>
      <c r="H11" s="603">
        <f>'10. Előirányzat felhasználás'!H9</f>
        <v>1594457</v>
      </c>
      <c r="I11" s="603">
        <f>'10. Előirányzat felhasználás'!I9</f>
        <v>1594457</v>
      </c>
      <c r="J11" s="603">
        <f>'10. Előirányzat felhasználás'!J9</f>
        <v>1594457</v>
      </c>
      <c r="K11" s="603">
        <f>'10. Előirányzat felhasználás'!K9</f>
        <v>1594457</v>
      </c>
      <c r="L11" s="603">
        <f>'10. Előirányzat felhasználás'!L9</f>
        <v>1594457</v>
      </c>
      <c r="M11" s="603">
        <f>'10. Előirányzat felhasználás'!M9</f>
        <v>1594457</v>
      </c>
      <c r="N11" s="603">
        <f>'10. Előirányzat felhasználás'!N9</f>
        <v>1594460</v>
      </c>
      <c r="O11" s="604">
        <f t="shared" si="1"/>
        <v>19133487</v>
      </c>
    </row>
    <row r="12" spans="1:15" s="478" customFormat="1">
      <c r="A12" s="474" t="s">
        <v>392</v>
      </c>
      <c r="B12" s="482" t="s">
        <v>462</v>
      </c>
      <c r="C12" s="603">
        <f>'10. Előirányzat felhasználás'!C10</f>
        <v>3100000</v>
      </c>
      <c r="D12" s="603">
        <f>'10. Előirányzat felhasználás'!D10</f>
        <v>0</v>
      </c>
      <c r="E12" s="603">
        <f>'10. Előirányzat felhasználás'!E10</f>
        <v>0</v>
      </c>
      <c r="F12" s="603">
        <f>'10. Előirányzat felhasználás'!F10</f>
        <v>0</v>
      </c>
      <c r="G12" s="603">
        <f>'10. Előirányzat felhasználás'!G10</f>
        <v>3100000</v>
      </c>
      <c r="H12" s="603">
        <f>'10. Előirányzat felhasználás'!H10</f>
        <v>0</v>
      </c>
      <c r="I12" s="603">
        <f>'10. Előirányzat felhasználás'!I10</f>
        <v>0</v>
      </c>
      <c r="J12" s="603">
        <f>'10. Előirányzat felhasználás'!J10</f>
        <v>3100000</v>
      </c>
      <c r="K12" s="603">
        <f>'10. Előirányzat felhasználás'!K10</f>
        <v>0</v>
      </c>
      <c r="L12" s="603">
        <f>'10. Előirányzat felhasználás'!L10</f>
        <v>0</v>
      </c>
      <c r="M12" s="603">
        <f>'10. Előirányzat felhasználás'!M10</f>
        <v>0</v>
      </c>
      <c r="N12" s="603">
        <f>'10. Előirányzat felhasználás'!N10</f>
        <v>0</v>
      </c>
      <c r="O12" s="604">
        <f t="shared" si="1"/>
        <v>9300000</v>
      </c>
    </row>
    <row r="13" spans="1:15" s="478" customFormat="1" ht="14.1" customHeight="1">
      <c r="A13" s="474" t="s">
        <v>277</v>
      </c>
      <c r="B13" s="482" t="s">
        <v>415</v>
      </c>
      <c r="C13" s="603">
        <f>'10. Előirányzat felhasználás'!C11</f>
        <v>0</v>
      </c>
      <c r="D13" s="603">
        <f>'10. Előirányzat felhasználás'!D11</f>
        <v>0</v>
      </c>
      <c r="E13" s="603">
        <f>'10. Előirányzat felhasználás'!E11</f>
        <v>0</v>
      </c>
      <c r="F13" s="603">
        <f>'10. Előirányzat felhasználás'!F11</f>
        <v>0</v>
      </c>
      <c r="G13" s="603">
        <f>'10. Előirányzat felhasználás'!G11</f>
        <v>0</v>
      </c>
      <c r="H13" s="603">
        <f>'10. Előirányzat felhasználás'!H11</f>
        <v>0</v>
      </c>
      <c r="I13" s="603">
        <f>'10. Előirányzat felhasználás'!I11</f>
        <v>0</v>
      </c>
      <c r="J13" s="603">
        <f>'10. Előirányzat felhasználás'!J11</f>
        <v>300000</v>
      </c>
      <c r="K13" s="603">
        <f>'10. Előirányzat felhasználás'!K11</f>
        <v>0</v>
      </c>
      <c r="L13" s="603">
        <f>'10. Előirányzat felhasználás'!L11</f>
        <v>0</v>
      </c>
      <c r="M13" s="603">
        <f>'10. Előirányzat felhasználás'!M11</f>
        <v>0</v>
      </c>
      <c r="N13" s="603">
        <f>'10. Előirányzat felhasználás'!N11</f>
        <v>0</v>
      </c>
      <c r="O13" s="604">
        <f t="shared" si="1"/>
        <v>300000</v>
      </c>
    </row>
    <row r="14" spans="1:15" s="469" customFormat="1" ht="15.95" customHeight="1">
      <c r="A14" s="474" t="s">
        <v>287</v>
      </c>
      <c r="B14" s="475" t="s">
        <v>509</v>
      </c>
      <c r="C14" s="603">
        <f>'10. Előirányzat felhasználás'!C12</f>
        <v>0</v>
      </c>
      <c r="D14" s="603">
        <f>'10. Előirányzat felhasználás'!D12</f>
        <v>0</v>
      </c>
      <c r="E14" s="603">
        <f>'10. Előirányzat felhasználás'!E12</f>
        <v>0</v>
      </c>
      <c r="F14" s="603">
        <f>'10. Előirányzat felhasználás'!F12</f>
        <v>0</v>
      </c>
      <c r="G14" s="603">
        <f>'10. Előirányzat felhasználás'!G12</f>
        <v>0</v>
      </c>
      <c r="H14" s="603">
        <f>'10. Előirányzat felhasználás'!H12</f>
        <v>0</v>
      </c>
      <c r="I14" s="603">
        <f>'10. Előirányzat felhasználás'!I12</f>
        <v>0</v>
      </c>
      <c r="J14" s="603">
        <f>'10. Előirányzat felhasználás'!J12</f>
        <v>0</v>
      </c>
      <c r="K14" s="603">
        <f>'10. Előirányzat felhasználás'!K12</f>
        <v>0</v>
      </c>
      <c r="L14" s="603">
        <f>'10. Előirányzat felhasználás'!L12</f>
        <v>0</v>
      </c>
      <c r="M14" s="603">
        <f>'10. Előirányzat felhasználás'!M12</f>
        <v>0</v>
      </c>
      <c r="N14" s="603">
        <f>'10. Előirányzat felhasználás'!N12</f>
        <v>0</v>
      </c>
      <c r="O14" s="604">
        <f t="shared" si="1"/>
        <v>0</v>
      </c>
    </row>
    <row r="15" spans="1:15" s="469" customFormat="1" ht="15" customHeight="1" thickBot="1">
      <c r="A15" s="474" t="s">
        <v>404</v>
      </c>
      <c r="B15" s="482" t="s">
        <v>10</v>
      </c>
      <c r="C15" s="603">
        <f>'10. Előirányzat felhasználás'!C13</f>
        <v>82895435</v>
      </c>
      <c r="D15" s="603">
        <f>'10. Előirányzat felhasználás'!D13</f>
        <v>0</v>
      </c>
      <c r="E15" s="603">
        <f>'10. Előirányzat felhasználás'!E13</f>
        <v>0</v>
      </c>
      <c r="F15" s="603">
        <f>'10. Előirányzat felhasználás'!F13</f>
        <v>0</v>
      </c>
      <c r="G15" s="603">
        <f>'10. Előirányzat felhasználás'!G13</f>
        <v>0</v>
      </c>
      <c r="H15" s="603">
        <f>'10. Előirányzat felhasználás'!H13</f>
        <v>0</v>
      </c>
      <c r="I15" s="603">
        <f>'10. Előirányzat felhasználás'!I13</f>
        <v>0</v>
      </c>
      <c r="J15" s="603">
        <f>'10. Előirányzat felhasználás'!J13</f>
        <v>0</v>
      </c>
      <c r="K15" s="603">
        <f>'10. Előirányzat felhasználás'!K13</f>
        <v>0</v>
      </c>
      <c r="L15" s="603">
        <f>'10. Előirányzat felhasználás'!L13</f>
        <v>0</v>
      </c>
      <c r="M15" s="603">
        <f>'10. Előirányzat felhasználás'!M13</f>
        <v>0</v>
      </c>
      <c r="N15" s="603">
        <f>'10. Előirányzat felhasználás'!N13</f>
        <v>0</v>
      </c>
      <c r="O15" s="604">
        <f t="shared" si="1"/>
        <v>82895435</v>
      </c>
    </row>
    <row r="16" spans="1:15" s="478" customFormat="1" ht="14.1" customHeight="1" thickBot="1">
      <c r="A16" s="468" t="s">
        <v>418</v>
      </c>
      <c r="B16" s="483" t="s">
        <v>569</v>
      </c>
      <c r="C16" s="606">
        <f t="shared" ref="C16:N16" si="2">SUM(C6:C15)</f>
        <v>98336177</v>
      </c>
      <c r="D16" s="606">
        <f t="shared" si="2"/>
        <v>95272538</v>
      </c>
      <c r="E16" s="606">
        <f t="shared" si="2"/>
        <v>100301350</v>
      </c>
      <c r="F16" s="606">
        <f t="shared" si="2"/>
        <v>83563242</v>
      </c>
      <c r="G16" s="606">
        <f t="shared" si="2"/>
        <v>85771379</v>
      </c>
      <c r="H16" s="606">
        <f t="shared" si="2"/>
        <v>63587216</v>
      </c>
      <c r="I16" s="606">
        <f t="shared" si="2"/>
        <v>62830353</v>
      </c>
      <c r="J16" s="606">
        <f t="shared" si="2"/>
        <v>64947990</v>
      </c>
      <c r="K16" s="606">
        <f t="shared" si="2"/>
        <v>46819227</v>
      </c>
      <c r="L16" s="606">
        <f t="shared" si="2"/>
        <v>34247364</v>
      </c>
      <c r="M16" s="606">
        <f t="shared" si="2"/>
        <v>31848501</v>
      </c>
      <c r="N16" s="606">
        <f t="shared" si="2"/>
        <v>28023282</v>
      </c>
      <c r="O16" s="607">
        <f>C6+O7+O8+O9+O10+O11+O12+O13+O14+O15</f>
        <v>251725669</v>
      </c>
    </row>
    <row r="17" spans="1:15" s="478" customFormat="1" ht="27" customHeight="1" thickBot="1">
      <c r="A17" s="468"/>
      <c r="B17" s="1864" t="s">
        <v>337</v>
      </c>
      <c r="C17" s="1885"/>
      <c r="D17" s="1885"/>
      <c r="E17" s="1885"/>
      <c r="F17" s="1885"/>
      <c r="G17" s="1885"/>
      <c r="H17" s="1885"/>
      <c r="I17" s="1885"/>
      <c r="J17" s="1885"/>
      <c r="K17" s="1885"/>
      <c r="L17" s="1885"/>
      <c r="M17" s="1885"/>
      <c r="N17" s="1885"/>
      <c r="O17" s="1886"/>
    </row>
    <row r="18" spans="1:15" s="478" customFormat="1" ht="14.1" customHeight="1">
      <c r="A18" s="486" t="s">
        <v>419</v>
      </c>
      <c r="B18" s="487" t="s">
        <v>0</v>
      </c>
      <c r="C18" s="605">
        <f>'10. Előirányzat felhasználás'!C16</f>
        <v>4946685</v>
      </c>
      <c r="D18" s="605">
        <f>'10. Előirányzat felhasználás'!D16</f>
        <v>4946685</v>
      </c>
      <c r="E18" s="605">
        <f>'10. Előirányzat felhasználás'!E16</f>
        <v>4946685</v>
      </c>
      <c r="F18" s="605">
        <f>'10. Előirányzat felhasználás'!F16</f>
        <v>4946685</v>
      </c>
      <c r="G18" s="605">
        <f>'10. Előirányzat felhasználás'!G16</f>
        <v>4946685</v>
      </c>
      <c r="H18" s="605">
        <f>'10. Előirányzat felhasználás'!H16</f>
        <v>4946685</v>
      </c>
      <c r="I18" s="605">
        <f>'10. Előirányzat felhasználás'!I16</f>
        <v>4946685</v>
      </c>
      <c r="J18" s="605">
        <f>'10. Előirányzat felhasználás'!J16</f>
        <v>4946685</v>
      </c>
      <c r="K18" s="605">
        <f>'10. Előirányzat felhasználás'!K16</f>
        <v>4946685</v>
      </c>
      <c r="L18" s="605">
        <f>'10. Előirányzat felhasználás'!L16</f>
        <v>4946685</v>
      </c>
      <c r="M18" s="605">
        <f>'10. Előirányzat felhasználás'!M16</f>
        <v>4946685</v>
      </c>
      <c r="N18" s="605">
        <f>'10. Előirányzat felhasználás'!N16</f>
        <v>4946685</v>
      </c>
      <c r="O18" s="608">
        <f t="shared" ref="O18:O24" si="3">SUM(C18:N18)</f>
        <v>59360220</v>
      </c>
    </row>
    <row r="19" spans="1:15" s="478" customFormat="1" ht="27" customHeight="1">
      <c r="A19" s="474" t="s">
        <v>420</v>
      </c>
      <c r="B19" s="475" t="s">
        <v>1</v>
      </c>
      <c r="C19" s="605">
        <f>'10. Előirányzat felhasználás'!C17</f>
        <v>867206</v>
      </c>
      <c r="D19" s="605">
        <f>'10. Előirányzat felhasználás'!D17</f>
        <v>867206</v>
      </c>
      <c r="E19" s="605">
        <f>'10. Előirányzat felhasználás'!E17</f>
        <v>867206</v>
      </c>
      <c r="F19" s="605">
        <f>'10. Előirányzat felhasználás'!F17</f>
        <v>867206</v>
      </c>
      <c r="G19" s="605">
        <f>'10. Előirányzat felhasználás'!G17</f>
        <v>867206</v>
      </c>
      <c r="H19" s="605">
        <f>'10. Előirányzat felhasználás'!H17</f>
        <v>867206</v>
      </c>
      <c r="I19" s="605">
        <f>'10. Előirányzat felhasználás'!I17</f>
        <v>867206</v>
      </c>
      <c r="J19" s="605">
        <f>'10. Előirányzat felhasználás'!J17</f>
        <v>867206</v>
      </c>
      <c r="K19" s="605">
        <f>'10. Előirányzat felhasználás'!K17</f>
        <v>867206</v>
      </c>
      <c r="L19" s="605">
        <f>'10. Előirányzat felhasználás'!L17</f>
        <v>867206</v>
      </c>
      <c r="M19" s="605">
        <f>'10. Előirányzat felhasználás'!M17</f>
        <v>867206</v>
      </c>
      <c r="N19" s="605">
        <f>'10. Előirányzat felhasználás'!N17</f>
        <v>867210</v>
      </c>
      <c r="O19" s="604">
        <f t="shared" si="3"/>
        <v>10406476</v>
      </c>
    </row>
    <row r="20" spans="1:15" s="478" customFormat="1" ht="14.1" customHeight="1">
      <c r="A20" s="474" t="s">
        <v>423</v>
      </c>
      <c r="B20" s="482" t="s">
        <v>2</v>
      </c>
      <c r="C20" s="605">
        <f>'10. Előirányzat felhasználás'!C18</f>
        <v>5746835</v>
      </c>
      <c r="D20" s="605">
        <f>'10. Előirányzat felhasználás'!D18</f>
        <v>5746835</v>
      </c>
      <c r="E20" s="605">
        <f>'10. Előirányzat felhasználás'!E18</f>
        <v>5746840</v>
      </c>
      <c r="F20" s="605">
        <f>'10. Előirányzat felhasználás'!F18</f>
        <v>5746835</v>
      </c>
      <c r="G20" s="605">
        <f>'10. Előirányzat felhasználás'!G18</f>
        <v>5746835</v>
      </c>
      <c r="H20" s="605">
        <f>'10. Előirányzat felhasználás'!H18</f>
        <v>5746835</v>
      </c>
      <c r="I20" s="605">
        <f>'10. Előirányzat felhasználás'!I18</f>
        <v>5746835</v>
      </c>
      <c r="J20" s="605">
        <f>'10. Előirányzat felhasználás'!J18</f>
        <v>5746835</v>
      </c>
      <c r="K20" s="605">
        <f>'10. Előirányzat felhasználás'!K18</f>
        <v>5746835</v>
      </c>
      <c r="L20" s="605">
        <f>'10. Előirányzat felhasználás'!L18</f>
        <v>5746835</v>
      </c>
      <c r="M20" s="605">
        <f>'10. Előirányzat felhasználás'!M18</f>
        <v>5746840</v>
      </c>
      <c r="N20" s="605">
        <f>'10. Előirányzat felhasználás'!N18</f>
        <v>5746835</v>
      </c>
      <c r="O20" s="604">
        <f t="shared" si="3"/>
        <v>68962030</v>
      </c>
    </row>
    <row r="21" spans="1:15" s="478" customFormat="1" ht="14.1" customHeight="1">
      <c r="A21" s="474" t="s">
        <v>426</v>
      </c>
      <c r="B21" s="482" t="s">
        <v>604</v>
      </c>
      <c r="C21" s="605">
        <f>'10. Előirányzat felhasználás'!C19</f>
        <v>200000</v>
      </c>
      <c r="D21" s="605">
        <f>'10. Előirányzat felhasználás'!D19</f>
        <v>200000</v>
      </c>
      <c r="E21" s="605">
        <f>'10. Előirányzat felhasználás'!E19</f>
        <v>400000</v>
      </c>
      <c r="F21" s="605">
        <f>'10. Előirányzat felhasználás'!F19</f>
        <v>200000</v>
      </c>
      <c r="G21" s="605">
        <f>'10. Előirányzat felhasználás'!G19</f>
        <v>200000</v>
      </c>
      <c r="H21" s="605">
        <f>'10. Előirányzat felhasználás'!H19</f>
        <v>200000</v>
      </c>
      <c r="I21" s="605">
        <f>'10. Előirányzat felhasználás'!I19</f>
        <v>200000</v>
      </c>
      <c r="J21" s="605">
        <f>'10. Előirányzat felhasználás'!J19</f>
        <v>400000</v>
      </c>
      <c r="K21" s="605">
        <f>'10. Előirányzat felhasználás'!K19</f>
        <v>200000</v>
      </c>
      <c r="L21" s="605">
        <f>'10. Előirányzat felhasználás'!L19</f>
        <v>200000</v>
      </c>
      <c r="M21" s="605">
        <f>'10. Előirányzat felhasználás'!M19</f>
        <v>200000</v>
      </c>
      <c r="N21" s="605">
        <f>'10. Előirányzat felhasználás'!N19</f>
        <v>250000</v>
      </c>
      <c r="O21" s="604">
        <f t="shared" si="3"/>
        <v>2850000</v>
      </c>
    </row>
    <row r="22" spans="1:15" s="478" customFormat="1">
      <c r="A22" s="474" t="s">
        <v>429</v>
      </c>
      <c r="B22" s="482" t="s">
        <v>11</v>
      </c>
      <c r="C22" s="605">
        <f>'10. Előirányzat felhasználás'!C20</f>
        <v>0</v>
      </c>
      <c r="D22" s="605">
        <f>'10. Előirányzat felhasználás'!D20</f>
        <v>0</v>
      </c>
      <c r="E22" s="605">
        <f>'10. Előirányzat felhasználás'!E20</f>
        <v>0</v>
      </c>
      <c r="F22" s="605">
        <f>'10. Előirányzat felhasználás'!F20</f>
        <v>0</v>
      </c>
      <c r="G22" s="605">
        <f>'10. Előirányzat felhasználás'!G20</f>
        <v>2172300</v>
      </c>
      <c r="H22" s="605">
        <f>'10. Előirányzat felhasználás'!H20</f>
        <v>0</v>
      </c>
      <c r="I22" s="605">
        <f>'10. Előirányzat felhasználás'!I20</f>
        <v>450000</v>
      </c>
      <c r="J22" s="605">
        <f>'10. Előirányzat felhasználás'!J20</f>
        <v>0</v>
      </c>
      <c r="K22" s="605">
        <f>'10. Előirányzat felhasználás'!K20</f>
        <v>0</v>
      </c>
      <c r="L22" s="605">
        <f>'10. Előirányzat felhasználás'!L20</f>
        <v>2142000</v>
      </c>
      <c r="M22" s="605">
        <f>'10. Előirányzat felhasználás'!M20</f>
        <v>0</v>
      </c>
      <c r="N22" s="605">
        <f>'10. Előirányzat felhasználás'!N20</f>
        <v>0</v>
      </c>
      <c r="O22" s="604">
        <f t="shared" si="3"/>
        <v>4764300</v>
      </c>
    </row>
    <row r="23" spans="1:15" s="478" customFormat="1" ht="14.1" customHeight="1">
      <c r="A23" s="474" t="s">
        <v>432</v>
      </c>
      <c r="B23" s="482" t="s">
        <v>3</v>
      </c>
      <c r="C23" s="605">
        <f>'10. Előirányzat felhasználás'!C21</f>
        <v>0</v>
      </c>
      <c r="D23" s="605">
        <f>'10. Előirányzat felhasználás'!D21</f>
        <v>397000</v>
      </c>
      <c r="E23" s="605">
        <f>'10. Előirányzat felhasználás'!E21</f>
        <v>2040500</v>
      </c>
      <c r="F23" s="605">
        <f>'10. Előirányzat felhasználás'!F21</f>
        <v>635000</v>
      </c>
      <c r="G23" s="605">
        <f>'10. Előirányzat felhasználás'!G21</f>
        <v>8400000</v>
      </c>
      <c r="H23" s="605">
        <f>'10. Előirányzat felhasználás'!H21</f>
        <v>500000</v>
      </c>
      <c r="I23" s="605">
        <f>'10. Előirányzat felhasználás'!I21</f>
        <v>0</v>
      </c>
      <c r="J23" s="605">
        <f>'10. Előirányzat felhasználás'!J21</f>
        <v>8327000</v>
      </c>
      <c r="K23" s="605">
        <f>'10. Előirányzat felhasználás'!K21</f>
        <v>500000</v>
      </c>
      <c r="L23" s="605">
        <f>'10. Előirányzat felhasználás'!L21</f>
        <v>0</v>
      </c>
      <c r="M23" s="605">
        <f>'10. Előirányzat felhasználás'!M21</f>
        <v>0</v>
      </c>
      <c r="N23" s="605">
        <f>'10. Előirányzat felhasználás'!N21</f>
        <v>8400000</v>
      </c>
      <c r="O23" s="604">
        <f t="shared" si="3"/>
        <v>29199500</v>
      </c>
    </row>
    <row r="24" spans="1:15" s="478" customFormat="1" ht="14.1" customHeight="1">
      <c r="A24" s="474" t="s">
        <v>435</v>
      </c>
      <c r="B24" s="475" t="s">
        <v>8</v>
      </c>
      <c r="C24" s="605">
        <f>'10. Előirányzat felhasználás'!C22</f>
        <v>0</v>
      </c>
      <c r="D24" s="605">
        <f>'10. Előirányzat felhasználás'!D22</f>
        <v>0</v>
      </c>
      <c r="E24" s="605">
        <f>'10. Előirányzat felhasználás'!E22</f>
        <v>14490740</v>
      </c>
      <c r="F24" s="605">
        <f>'10. Előirányzat felhasználás'!F22</f>
        <v>0</v>
      </c>
      <c r="G24" s="605">
        <f>'10. Előirányzat felhasználás'!G22</f>
        <v>11605000</v>
      </c>
      <c r="H24" s="605">
        <f>'10. Előirányzat felhasználás'!H22</f>
        <v>0</v>
      </c>
      <c r="I24" s="605">
        <f>'10. Előirányzat felhasználás'!I22</f>
        <v>825500</v>
      </c>
      <c r="J24" s="605">
        <f>'10. Előirányzat felhasználás'!J22</f>
        <v>14490700</v>
      </c>
      <c r="K24" s="605">
        <f>'10. Előirányzat felhasználás'!K22</f>
        <v>12065000</v>
      </c>
      <c r="L24" s="605">
        <f>'10. Előirányzat felhasználás'!L22</f>
        <v>0</v>
      </c>
      <c r="M24" s="605">
        <f>'10. Előirányzat felhasználás'!M22</f>
        <v>10000000</v>
      </c>
      <c r="N24" s="605">
        <f>'10. Előirányzat felhasználás'!N22</f>
        <v>0</v>
      </c>
      <c r="O24" s="604">
        <f t="shared" si="3"/>
        <v>63476940</v>
      </c>
    </row>
    <row r="25" spans="1:15" s="478" customFormat="1" ht="14.1" customHeight="1">
      <c r="A25" s="474" t="s">
        <v>438</v>
      </c>
      <c r="B25" s="482" t="s">
        <v>364</v>
      </c>
      <c r="C25" s="605">
        <f>'10. Előirányzat felhasználás'!C23</f>
        <v>0</v>
      </c>
      <c r="D25" s="605">
        <f>'10. Előirányzat felhasználás'!D23</f>
        <v>0</v>
      </c>
      <c r="E25" s="605">
        <f>'10. Előirányzat felhasználás'!E23</f>
        <v>0</v>
      </c>
      <c r="F25" s="605">
        <f>'10. Előirányzat felhasználás'!F23</f>
        <v>250000</v>
      </c>
      <c r="G25" s="605">
        <f>'10. Előirányzat felhasználás'!G23</f>
        <v>0</v>
      </c>
      <c r="H25" s="605">
        <f>'10. Előirányzat felhasználás'!H23</f>
        <v>250000</v>
      </c>
      <c r="I25" s="605">
        <f>'10. Előirányzat felhasználás'!I23</f>
        <v>0</v>
      </c>
      <c r="J25" s="605">
        <f>'10. Előirányzat felhasználás'!J23</f>
        <v>0</v>
      </c>
      <c r="K25" s="605">
        <f>'10. Előirányzat felhasználás'!K23</f>
        <v>0</v>
      </c>
      <c r="L25" s="605">
        <f>'10. Előirányzat felhasználás'!L23</f>
        <v>250000</v>
      </c>
      <c r="M25" s="605">
        <f>'10. Előirányzat felhasználás'!M23</f>
        <v>0</v>
      </c>
      <c r="N25" s="605">
        <f>'10. Előirányzat felhasználás'!N23</f>
        <v>0</v>
      </c>
      <c r="O25" s="604">
        <f>SUM(C25:N25)</f>
        <v>750000</v>
      </c>
    </row>
    <row r="26" spans="1:15" s="469" customFormat="1" ht="15.95" customHeight="1" thickBot="1">
      <c r="A26" s="474" t="s">
        <v>441</v>
      </c>
      <c r="B26" s="482" t="s">
        <v>9</v>
      </c>
      <c r="C26" s="605">
        <f>'10. Előirányzat felhasználás'!C25</f>
        <v>3643651</v>
      </c>
      <c r="D26" s="605">
        <f>'10. Előirányzat felhasználás'!D25</f>
        <v>50000</v>
      </c>
      <c r="E26" s="605">
        <f>'10. Előirányzat felhasználás'!E25</f>
        <v>50000</v>
      </c>
      <c r="F26" s="605">
        <f>'10. Előirányzat felhasználás'!F25</f>
        <v>50000</v>
      </c>
      <c r="G26" s="605">
        <f>'10. Előirányzat felhasználás'!G25</f>
        <v>50000</v>
      </c>
      <c r="H26" s="605">
        <f>'10. Előirányzat felhasználás'!H25</f>
        <v>50000</v>
      </c>
      <c r="I26" s="605">
        <f>'10. Előirányzat felhasználás'!I25</f>
        <v>50000</v>
      </c>
      <c r="J26" s="605">
        <f>'10. Előirányzat felhasználás'!J25</f>
        <v>50000</v>
      </c>
      <c r="K26" s="605">
        <f>'10. Előirányzat felhasználás'!K25</f>
        <v>50000</v>
      </c>
      <c r="L26" s="605">
        <f>'10. Előirányzat felhasználás'!L25</f>
        <v>50000</v>
      </c>
      <c r="M26" s="605">
        <f>'10. Előirányzat felhasználás'!M25</f>
        <v>50000</v>
      </c>
      <c r="N26" s="605">
        <f>'10. Előirányzat felhasználás'!N25</f>
        <v>50000</v>
      </c>
      <c r="O26" s="604">
        <f>SUM(C26:N26)</f>
        <v>4193651</v>
      </c>
    </row>
    <row r="27" spans="1:15" ht="16.5" thickBot="1">
      <c r="A27" s="609" t="s">
        <v>444</v>
      </c>
      <c r="B27" s="483" t="s">
        <v>571</v>
      </c>
      <c r="C27" s="606">
        <f t="shared" ref="C27:N27" si="4">SUM(C18:C26)</f>
        <v>15404377</v>
      </c>
      <c r="D27" s="606">
        <f t="shared" si="4"/>
        <v>12207726</v>
      </c>
      <c r="E27" s="606">
        <f t="shared" si="4"/>
        <v>28541971</v>
      </c>
      <c r="F27" s="606">
        <f t="shared" si="4"/>
        <v>12695726</v>
      </c>
      <c r="G27" s="606">
        <f t="shared" si="4"/>
        <v>33988026</v>
      </c>
      <c r="H27" s="606">
        <f t="shared" si="4"/>
        <v>12560726</v>
      </c>
      <c r="I27" s="606">
        <f t="shared" si="4"/>
        <v>13086226</v>
      </c>
      <c r="J27" s="606">
        <f t="shared" si="4"/>
        <v>34828426</v>
      </c>
      <c r="K27" s="606">
        <f t="shared" si="4"/>
        <v>24375726</v>
      </c>
      <c r="L27" s="606">
        <f t="shared" si="4"/>
        <v>14202726</v>
      </c>
      <c r="M27" s="606">
        <f t="shared" si="4"/>
        <v>21810731</v>
      </c>
      <c r="N27" s="606">
        <f t="shared" si="4"/>
        <v>20260730</v>
      </c>
      <c r="O27" s="610">
        <f>SUM(C27:N27)</f>
        <v>243963117</v>
      </c>
    </row>
    <row r="28" spans="1:15" ht="16.5" thickBot="1">
      <c r="A28" s="609" t="s">
        <v>446</v>
      </c>
      <c r="B28" s="488" t="s">
        <v>605</v>
      </c>
      <c r="C28" s="611">
        <f t="shared" ref="C28:N28" si="5">C16-C27</f>
        <v>82931800</v>
      </c>
      <c r="D28" s="611">
        <f t="shared" si="5"/>
        <v>83064812</v>
      </c>
      <c r="E28" s="611">
        <f t="shared" si="5"/>
        <v>71759379</v>
      </c>
      <c r="F28" s="611">
        <f t="shared" si="5"/>
        <v>70867516</v>
      </c>
      <c r="G28" s="611">
        <f t="shared" si="5"/>
        <v>51783353</v>
      </c>
      <c r="H28" s="611">
        <f t="shared" si="5"/>
        <v>51026490</v>
      </c>
      <c r="I28" s="611">
        <f t="shared" si="5"/>
        <v>49744127</v>
      </c>
      <c r="J28" s="611">
        <f t="shared" si="5"/>
        <v>30119564</v>
      </c>
      <c r="K28" s="611">
        <f t="shared" si="5"/>
        <v>22443501</v>
      </c>
      <c r="L28" s="611">
        <f t="shared" si="5"/>
        <v>20044638</v>
      </c>
      <c r="M28" s="611">
        <f t="shared" si="5"/>
        <v>10037770</v>
      </c>
      <c r="N28" s="611">
        <f t="shared" si="5"/>
        <v>7762552</v>
      </c>
      <c r="O28" s="612" t="s">
        <v>603</v>
      </c>
    </row>
    <row r="29" spans="1:15">
      <c r="B29" s="492"/>
      <c r="C29" s="493"/>
      <c r="D29" s="493"/>
      <c r="O29" s="462"/>
    </row>
    <row r="30" spans="1:15">
      <c r="O30" s="462"/>
    </row>
    <row r="31" spans="1:15">
      <c r="O31" s="462"/>
    </row>
    <row r="32" spans="1:15">
      <c r="O32" s="462"/>
    </row>
    <row r="33" spans="15:15">
      <c r="O33" s="462"/>
    </row>
    <row r="34" spans="15:15">
      <c r="O34" s="462"/>
    </row>
    <row r="35" spans="15:15">
      <c r="O35" s="462"/>
    </row>
    <row r="36" spans="15:15">
      <c r="O36" s="462"/>
    </row>
    <row r="37" spans="15:15">
      <c r="O37" s="462"/>
    </row>
    <row r="38" spans="15:15">
      <c r="O38" s="462"/>
    </row>
    <row r="39" spans="15:15">
      <c r="O39" s="462"/>
    </row>
    <row r="40" spans="15:15">
      <c r="O40" s="462"/>
    </row>
    <row r="41" spans="15:15">
      <c r="O41" s="462"/>
    </row>
    <row r="42" spans="15:15">
      <c r="O42" s="462"/>
    </row>
    <row r="43" spans="15:15">
      <c r="O43" s="462"/>
    </row>
    <row r="44" spans="15:15">
      <c r="O44" s="462"/>
    </row>
    <row r="45" spans="15:15">
      <c r="O45" s="462"/>
    </row>
    <row r="46" spans="15:15">
      <c r="O46" s="462"/>
    </row>
    <row r="47" spans="15:15">
      <c r="O47" s="462"/>
    </row>
    <row r="48" spans="15:15">
      <c r="O48" s="462"/>
    </row>
    <row r="49" spans="15:15">
      <c r="O49" s="462"/>
    </row>
    <row r="50" spans="15:15">
      <c r="O50" s="462"/>
    </row>
    <row r="51" spans="15:15">
      <c r="O51" s="462"/>
    </row>
    <row r="52" spans="15:15">
      <c r="O52" s="462"/>
    </row>
    <row r="53" spans="15:15">
      <c r="O53" s="462"/>
    </row>
    <row r="54" spans="15:15">
      <c r="O54" s="462"/>
    </row>
    <row r="55" spans="15:15">
      <c r="O55" s="462"/>
    </row>
    <row r="56" spans="15:15">
      <c r="O56" s="462"/>
    </row>
    <row r="57" spans="15:15">
      <c r="O57" s="462"/>
    </row>
    <row r="58" spans="15:15">
      <c r="O58" s="462"/>
    </row>
    <row r="59" spans="15:15">
      <c r="O59" s="462"/>
    </row>
    <row r="60" spans="15:15">
      <c r="O60" s="462"/>
    </row>
    <row r="61" spans="15:15">
      <c r="O61" s="462"/>
    </row>
    <row r="62" spans="15:15">
      <c r="O62" s="462"/>
    </row>
    <row r="63" spans="15:15">
      <c r="O63" s="462"/>
    </row>
    <row r="64" spans="15:15">
      <c r="O64" s="462"/>
    </row>
    <row r="65" spans="15:15">
      <c r="O65" s="462"/>
    </row>
    <row r="66" spans="15:15">
      <c r="O66" s="462"/>
    </row>
    <row r="67" spans="15:15">
      <c r="O67" s="462"/>
    </row>
    <row r="68" spans="15:15">
      <c r="O68" s="462"/>
    </row>
    <row r="69" spans="15:15">
      <c r="O69" s="462"/>
    </row>
    <row r="70" spans="15:15">
      <c r="O70" s="462"/>
    </row>
    <row r="71" spans="15:15">
      <c r="O71" s="462"/>
    </row>
    <row r="72" spans="15:15">
      <c r="O72" s="462"/>
    </row>
    <row r="73" spans="15:15">
      <c r="O73" s="462"/>
    </row>
    <row r="74" spans="15:15">
      <c r="O74" s="462"/>
    </row>
    <row r="75" spans="15:15">
      <c r="O75" s="462"/>
    </row>
    <row r="76" spans="15:15">
      <c r="O76" s="462"/>
    </row>
    <row r="77" spans="15:15">
      <c r="O77" s="462"/>
    </row>
  </sheetData>
  <sheetProtection selectLockedCells="1" selectUnlockedCells="1"/>
  <mergeCells count="4">
    <mergeCell ref="A1:O1"/>
    <mergeCell ref="A2:O2"/>
    <mergeCell ref="B5:O5"/>
    <mergeCell ref="B17:O17"/>
  </mergeCells>
  <printOptions horizontalCentered="1"/>
  <pageMargins left="0.78740157480314965" right="0.78740157480314965" top="1.0687500000000001" bottom="0.98425196850393704" header="0.78740157480314965" footer="0.78740157480314965"/>
  <pageSetup paperSize="9" scale="74" orientation="landscape" r:id="rId1"/>
  <headerFooter alignWithMargins="0">
    <oddHeader>&amp;R&amp;"Times New Roman CE,Félkövér dőlt" 1. számú tájékoztató tábla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E27"/>
  <sheetViews>
    <sheetView view="pageBreakPreview" zoomScaleNormal="100" zoomScaleSheetLayoutView="100" workbookViewId="0">
      <selection activeCell="C5" sqref="C5"/>
    </sheetView>
  </sheetViews>
  <sheetFormatPr defaultColWidth="9.140625" defaultRowHeight="12.75"/>
  <cols>
    <col min="1" max="1" width="8.5703125" style="318" customWidth="1"/>
    <col min="2" max="2" width="36.42578125" style="318" customWidth="1"/>
    <col min="3" max="3" width="24" style="318" customWidth="1"/>
    <col min="4" max="4" width="14" style="318" customWidth="1"/>
    <col min="5" max="16384" width="9.140625" style="318"/>
  </cols>
  <sheetData>
    <row r="1" spans="1:4" ht="50.1" customHeight="1">
      <c r="A1" s="438" t="s">
        <v>410</v>
      </c>
      <c r="B1" s="439" t="s">
        <v>546</v>
      </c>
      <c r="C1" s="439" t="s">
        <v>547</v>
      </c>
      <c r="D1" s="440" t="s">
        <v>652</v>
      </c>
    </row>
    <row r="2" spans="1:4" ht="20.100000000000001" customHeight="1">
      <c r="A2" s="1025" t="s">
        <v>184</v>
      </c>
      <c r="B2" s="442" t="s">
        <v>650</v>
      </c>
      <c r="C2" s="443" t="s">
        <v>651</v>
      </c>
      <c r="D2" s="444">
        <f>'7.1 Önkormányzat'!C107</f>
        <v>2592000</v>
      </c>
    </row>
    <row r="3" spans="1:4" ht="20.100000000000001" customHeight="1">
      <c r="A3" s="1025" t="s">
        <v>198</v>
      </c>
      <c r="B3" s="442"/>
      <c r="C3" s="443"/>
      <c r="D3" s="444"/>
    </row>
    <row r="4" spans="1:4" ht="20.100000000000001" customHeight="1">
      <c r="A4" s="1025" t="s">
        <v>212</v>
      </c>
      <c r="B4" s="443"/>
      <c r="C4" s="443"/>
      <c r="D4" s="444"/>
    </row>
    <row r="5" spans="1:4" ht="20.100000000000001" customHeight="1">
      <c r="A5" s="1025" t="s">
        <v>381</v>
      </c>
      <c r="B5" s="443"/>
      <c r="C5" s="443"/>
      <c r="D5" s="444"/>
    </row>
    <row r="6" spans="1:4" ht="20.100000000000001" customHeight="1">
      <c r="A6" s="1025" t="s">
        <v>233</v>
      </c>
      <c r="B6" s="443"/>
      <c r="C6" s="443"/>
      <c r="D6" s="444"/>
    </row>
    <row r="7" spans="1:4" ht="20.100000000000001" customHeight="1">
      <c r="A7" s="1025" t="s">
        <v>255</v>
      </c>
      <c r="B7" s="443"/>
      <c r="C7" s="443"/>
      <c r="D7" s="444"/>
    </row>
    <row r="8" spans="1:4" ht="20.100000000000001" customHeight="1">
      <c r="A8" s="1025" t="s">
        <v>392</v>
      </c>
      <c r="B8" s="443"/>
      <c r="C8" s="443"/>
      <c r="D8" s="444"/>
    </row>
    <row r="9" spans="1:4" ht="20.100000000000001" customHeight="1">
      <c r="A9" s="1025" t="s">
        <v>277</v>
      </c>
      <c r="B9" s="443"/>
      <c r="C9" s="443"/>
      <c r="D9" s="444"/>
    </row>
    <row r="10" spans="1:4" ht="20.100000000000001" customHeight="1">
      <c r="A10" s="1025" t="s">
        <v>287</v>
      </c>
      <c r="B10" s="443"/>
      <c r="C10" s="443"/>
      <c r="D10" s="444"/>
    </row>
    <row r="11" spans="1:4" ht="20.100000000000001" customHeight="1">
      <c r="A11" s="1025" t="s">
        <v>404</v>
      </c>
      <c r="B11" s="443"/>
      <c r="C11" s="443"/>
      <c r="D11" s="444"/>
    </row>
    <row r="12" spans="1:4" ht="20.100000000000001" customHeight="1">
      <c r="A12" s="1025" t="s">
        <v>418</v>
      </c>
      <c r="B12" s="443"/>
      <c r="C12" s="443"/>
      <c r="D12" s="444"/>
    </row>
    <row r="13" spans="1:4" ht="20.100000000000001" customHeight="1">
      <c r="A13" s="1025" t="s">
        <v>419</v>
      </c>
      <c r="B13" s="443"/>
      <c r="C13" s="443"/>
      <c r="D13" s="444"/>
    </row>
    <row r="14" spans="1:4" ht="20.100000000000001" customHeight="1">
      <c r="A14" s="1025" t="s">
        <v>420</v>
      </c>
      <c r="B14" s="443"/>
      <c r="C14" s="443"/>
      <c r="D14" s="444"/>
    </row>
    <row r="15" spans="1:4" ht="20.100000000000001" customHeight="1">
      <c r="A15" s="1025" t="s">
        <v>423</v>
      </c>
      <c r="B15" s="443"/>
      <c r="C15" s="443"/>
      <c r="D15" s="444"/>
    </row>
    <row r="16" spans="1:4" ht="20.100000000000001" customHeight="1">
      <c r="A16" s="1025"/>
      <c r="B16" s="443"/>
      <c r="C16" s="443"/>
      <c r="D16" s="444"/>
    </row>
    <row r="17" spans="1:5" ht="20.100000000000001" customHeight="1">
      <c r="A17" s="1025"/>
      <c r="B17" s="443"/>
      <c r="C17" s="443"/>
      <c r="D17" s="444"/>
      <c r="E17" s="445"/>
    </row>
    <row r="18" spans="1:5" ht="20.100000000000001" customHeight="1">
      <c r="A18" s="1025"/>
      <c r="B18" s="443"/>
      <c r="C18" s="443"/>
      <c r="D18" s="444"/>
    </row>
    <row r="19" spans="1:5" ht="20.100000000000001" customHeight="1">
      <c r="A19" s="1025"/>
      <c r="B19" s="443"/>
      <c r="C19" s="443"/>
      <c r="D19" s="444"/>
    </row>
    <row r="20" spans="1:5" ht="20.100000000000001" customHeight="1">
      <c r="A20" s="441"/>
      <c r="B20" s="443"/>
      <c r="C20" s="442"/>
      <c r="D20" s="444"/>
    </row>
    <row r="21" spans="1:5" ht="20.100000000000001" customHeight="1">
      <c r="A21" s="441"/>
      <c r="B21" s="443"/>
      <c r="C21" s="442"/>
      <c r="D21" s="444"/>
    </row>
    <row r="22" spans="1:5" ht="20.100000000000001" customHeight="1">
      <c r="A22" s="441"/>
      <c r="B22" s="443"/>
      <c r="C22" s="442"/>
      <c r="D22" s="444"/>
    </row>
    <row r="23" spans="1:5" ht="20.100000000000001" customHeight="1">
      <c r="A23" s="441"/>
      <c r="B23" s="443"/>
      <c r="C23" s="443"/>
      <c r="D23" s="446"/>
    </row>
    <row r="24" spans="1:5" ht="20.100000000000001" customHeight="1">
      <c r="A24" s="441"/>
      <c r="B24" s="447"/>
      <c r="C24" s="447"/>
      <c r="D24" s="448"/>
    </row>
    <row r="25" spans="1:5" ht="20.100000000000001" customHeight="1" thickBot="1">
      <c r="A25" s="441"/>
      <c r="B25" s="447"/>
      <c r="C25" s="447"/>
      <c r="D25" s="448"/>
    </row>
    <row r="26" spans="1:5" ht="20.100000000000001" customHeight="1" thickBot="1">
      <c r="A26" s="1867" t="s">
        <v>539</v>
      </c>
      <c r="B26" s="1868"/>
      <c r="C26" s="449"/>
      <c r="D26" s="450">
        <f>SUM(D2:D25)</f>
        <v>2592000</v>
      </c>
    </row>
    <row r="27" spans="1:5">
      <c r="A27" s="451"/>
    </row>
  </sheetData>
  <sheetProtection selectLockedCells="1" selectUnlockedCells="1"/>
  <mergeCells count="1">
    <mergeCell ref="A26:B26"/>
  </mergeCells>
  <conditionalFormatting sqref="D26">
    <cfRule type="cellIs" dxfId="0" priority="1" stopIfTrue="1" operator="equal">
      <formula>0</formula>
    </cfRule>
  </conditionalFormatting>
  <printOptions horizontalCentered="1"/>
  <pageMargins left="0.78740157480314965" right="0.78740157480314965" top="1.5748031496062993" bottom="0.98425196850393704" header="0.78740157480314965" footer="0.78740157480314965"/>
  <pageSetup paperSize="9" scale="87" orientation="portrait" r:id="rId1"/>
  <headerFooter alignWithMargins="0">
    <oddHeader>&amp;C&amp;"Times New Roman CE,Félkövér"&amp;12
K I M U T A T Á S
a 2020. évi céljelleggel nyújtott támogatásokról&amp;R&amp;"Times New Roman CE,Félkövér dőlt" 2. számú tájékoztató tábla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I18"/>
  <sheetViews>
    <sheetView view="pageBreakPreview" zoomScaleNormal="100" zoomScaleSheetLayoutView="100" workbookViewId="0">
      <selection activeCell="E11" sqref="E11"/>
    </sheetView>
  </sheetViews>
  <sheetFormatPr defaultColWidth="9.140625" defaultRowHeight="12.75"/>
  <cols>
    <col min="1" max="1" width="5.85546875" style="349" customWidth="1"/>
    <col min="2" max="2" width="42.5703125" style="141" customWidth="1"/>
    <col min="3" max="8" width="11" style="141" customWidth="1"/>
    <col min="9" max="9" width="11.85546875" style="141" customWidth="1"/>
    <col min="10" max="16384" width="9.140625" style="141"/>
  </cols>
  <sheetData>
    <row r="1" spans="1:9" ht="27.75" customHeight="1">
      <c r="A1" s="1871" t="s">
        <v>516</v>
      </c>
      <c r="B1" s="1871"/>
      <c r="C1" s="1871"/>
      <c r="D1" s="1871"/>
      <c r="E1" s="1871"/>
      <c r="F1" s="1871"/>
      <c r="G1" s="1871"/>
      <c r="H1" s="1871"/>
      <c r="I1" s="1871"/>
    </row>
    <row r="2" spans="1:9" ht="20.25" customHeight="1" thickBot="1">
      <c r="I2" s="350" t="s">
        <v>648</v>
      </c>
    </row>
    <row r="3" spans="1:9" s="351" customFormat="1" ht="26.25" customHeight="1">
      <c r="A3" s="1872" t="s">
        <v>410</v>
      </c>
      <c r="B3" s="1874" t="s">
        <v>517</v>
      </c>
      <c r="C3" s="1872" t="s">
        <v>518</v>
      </c>
      <c r="D3" s="1872" t="s">
        <v>832</v>
      </c>
      <c r="E3" s="1876" t="s">
        <v>519</v>
      </c>
      <c r="F3" s="1877"/>
      <c r="G3" s="1877"/>
      <c r="H3" s="1878"/>
      <c r="I3" s="1874" t="s">
        <v>12</v>
      </c>
    </row>
    <row r="4" spans="1:9" s="354" customFormat="1" ht="32.25" customHeight="1" thickBot="1">
      <c r="A4" s="1873"/>
      <c r="B4" s="1875"/>
      <c r="C4" s="1875"/>
      <c r="D4" s="1873"/>
      <c r="E4" s="352">
        <v>2020</v>
      </c>
      <c r="F4" s="352">
        <v>2021</v>
      </c>
      <c r="G4" s="352">
        <v>2022</v>
      </c>
      <c r="H4" s="353">
        <v>2023</v>
      </c>
      <c r="I4" s="1875"/>
    </row>
    <row r="5" spans="1:9" s="360" customFormat="1" ht="12.95" customHeight="1" thickBot="1">
      <c r="A5" s="355">
        <v>1</v>
      </c>
      <c r="B5" s="356">
        <v>2</v>
      </c>
      <c r="C5" s="357">
        <v>3</v>
      </c>
      <c r="D5" s="356">
        <v>4</v>
      </c>
      <c r="E5" s="355">
        <v>5</v>
      </c>
      <c r="F5" s="357">
        <v>6</v>
      </c>
      <c r="G5" s="357">
        <v>7</v>
      </c>
      <c r="H5" s="358">
        <v>8</v>
      </c>
      <c r="I5" s="359" t="s">
        <v>520</v>
      </c>
    </row>
    <row r="6" spans="1:9" ht="24.75" customHeight="1" thickBot="1">
      <c r="A6" s="361" t="s">
        <v>184</v>
      </c>
      <c r="B6" s="362" t="s">
        <v>521</v>
      </c>
      <c r="C6" s="363"/>
      <c r="D6" s="364">
        <f>+D7+D8</f>
        <v>0</v>
      </c>
      <c r="E6" s="365">
        <f>+E7+E8</f>
        <v>3593651</v>
      </c>
      <c r="F6" s="366">
        <f>+F7+F8</f>
        <v>0</v>
      </c>
      <c r="G6" s="366">
        <f>+G7+G8</f>
        <v>0</v>
      </c>
      <c r="H6" s="367">
        <f>+H7+H8</f>
        <v>0</v>
      </c>
      <c r="I6" s="364">
        <f t="shared" ref="I6:I17" si="0">SUM(D6:H6)</f>
        <v>3593651</v>
      </c>
    </row>
    <row r="7" spans="1:9" ht="20.100000000000001" customHeight="1">
      <c r="A7" s="368" t="s">
        <v>198</v>
      </c>
      <c r="B7" s="369" t="s">
        <v>831</v>
      </c>
      <c r="C7" s="370"/>
      <c r="D7" s="371"/>
      <c r="E7" s="372">
        <f>'7.1 Önkormányzat'!C137</f>
        <v>3593651</v>
      </c>
      <c r="F7" s="373"/>
      <c r="G7" s="373"/>
      <c r="H7" s="374"/>
      <c r="I7" s="375">
        <f t="shared" si="0"/>
        <v>3593651</v>
      </c>
    </row>
    <row r="8" spans="1:9" ht="20.100000000000001" customHeight="1" thickBot="1">
      <c r="A8" s="368" t="s">
        <v>212</v>
      </c>
      <c r="B8" s="369" t="s">
        <v>522</v>
      </c>
      <c r="C8" s="370"/>
      <c r="D8" s="371"/>
      <c r="E8" s="372"/>
      <c r="F8" s="373"/>
      <c r="G8" s="373"/>
      <c r="H8" s="374"/>
      <c r="I8" s="375">
        <f t="shared" si="0"/>
        <v>0</v>
      </c>
    </row>
    <row r="9" spans="1:9" ht="26.1" customHeight="1" thickBot="1">
      <c r="A9" s="361" t="s">
        <v>381</v>
      </c>
      <c r="B9" s="362" t="s">
        <v>523</v>
      </c>
      <c r="C9" s="376"/>
      <c r="D9" s="364">
        <f>D10</f>
        <v>1489197</v>
      </c>
      <c r="E9" s="365">
        <f>E10</f>
        <v>600000</v>
      </c>
      <c r="F9" s="366">
        <f t="shared" ref="F9:H9" si="1">F10</f>
        <v>600000</v>
      </c>
      <c r="G9" s="366">
        <f t="shared" si="1"/>
        <v>600000</v>
      </c>
      <c r="H9" s="367">
        <f t="shared" si="1"/>
        <v>600000</v>
      </c>
      <c r="I9" s="364">
        <f t="shared" si="0"/>
        <v>3889197</v>
      </c>
    </row>
    <row r="10" spans="1:9" ht="20.100000000000001" customHeight="1">
      <c r="A10" s="368" t="s">
        <v>233</v>
      </c>
      <c r="B10" s="369" t="s">
        <v>653</v>
      </c>
      <c r="C10" s="370" t="s">
        <v>657</v>
      </c>
      <c r="D10" s="371">
        <v>1489197</v>
      </c>
      <c r="E10" s="1021">
        <f>'7.1 Önkormányzat'!C127</f>
        <v>600000</v>
      </c>
      <c r="F10" s="1022">
        <v>600000</v>
      </c>
      <c r="G10" s="1022">
        <v>600000</v>
      </c>
      <c r="H10" s="1022">
        <v>600000</v>
      </c>
      <c r="I10" s="375">
        <f t="shared" si="0"/>
        <v>3889197</v>
      </c>
    </row>
    <row r="11" spans="1:9" ht="20.100000000000001" customHeight="1" thickBot="1">
      <c r="A11" s="368" t="s">
        <v>255</v>
      </c>
      <c r="B11" s="369" t="s">
        <v>522</v>
      </c>
      <c r="C11" s="370"/>
      <c r="D11" s="371"/>
      <c r="E11" s="372"/>
      <c r="F11" s="373"/>
      <c r="G11" s="373"/>
      <c r="H11" s="374"/>
      <c r="I11" s="375">
        <f t="shared" si="0"/>
        <v>0</v>
      </c>
    </row>
    <row r="12" spans="1:9" ht="20.100000000000001" customHeight="1" thickBot="1">
      <c r="A12" s="361" t="s">
        <v>392</v>
      </c>
      <c r="B12" s="362" t="s">
        <v>524</v>
      </c>
      <c r="C12" s="376"/>
      <c r="D12" s="364">
        <f>+D13</f>
        <v>0</v>
      </c>
      <c r="E12" s="365">
        <f>+E13</f>
        <v>0</v>
      </c>
      <c r="F12" s="366"/>
      <c r="G12" s="366">
        <f>+G13</f>
        <v>0</v>
      </c>
      <c r="H12" s="367">
        <f>+H13</f>
        <v>0</v>
      </c>
      <c r="I12" s="364">
        <f t="shared" si="0"/>
        <v>0</v>
      </c>
    </row>
    <row r="13" spans="1:9" ht="30.75" customHeight="1" thickBot="1">
      <c r="A13" s="368" t="s">
        <v>277</v>
      </c>
      <c r="B13" s="369"/>
      <c r="C13" s="370"/>
      <c r="D13" s="371">
        <v>0</v>
      </c>
      <c r="E13" s="372"/>
      <c r="F13" s="373"/>
      <c r="G13" s="373"/>
      <c r="H13" s="374"/>
      <c r="I13" s="375">
        <f t="shared" si="0"/>
        <v>0</v>
      </c>
    </row>
    <row r="14" spans="1:9" ht="20.100000000000001" customHeight="1" thickBot="1">
      <c r="A14" s="361" t="s">
        <v>287</v>
      </c>
      <c r="B14" s="362" t="s">
        <v>525</v>
      </c>
      <c r="C14" s="376"/>
      <c r="D14" s="364">
        <f>+D15</f>
        <v>0</v>
      </c>
      <c r="E14" s="365">
        <f>+E15</f>
        <v>0</v>
      </c>
      <c r="F14" s="366">
        <f>+F15</f>
        <v>0</v>
      </c>
      <c r="G14" s="366">
        <f>+G15</f>
        <v>0</v>
      </c>
      <c r="H14" s="367">
        <f>+H15</f>
        <v>0</v>
      </c>
      <c r="I14" s="364">
        <f t="shared" si="0"/>
        <v>0</v>
      </c>
    </row>
    <row r="15" spans="1:9" ht="20.100000000000001" customHeight="1" thickBot="1">
      <c r="A15" s="377" t="s">
        <v>404</v>
      </c>
      <c r="B15" s="378"/>
      <c r="C15" s="379"/>
      <c r="D15" s="380"/>
      <c r="E15" s="381"/>
      <c r="F15" s="382"/>
      <c r="G15" s="382"/>
      <c r="H15" s="383"/>
      <c r="I15" s="384">
        <f t="shared" si="0"/>
        <v>0</v>
      </c>
    </row>
    <row r="16" spans="1:9" ht="20.100000000000001" customHeight="1" thickBot="1">
      <c r="A16" s="361" t="s">
        <v>418</v>
      </c>
      <c r="B16" s="385" t="s">
        <v>526</v>
      </c>
      <c r="C16" s="376"/>
      <c r="D16" s="364">
        <f>+D17</f>
        <v>0</v>
      </c>
      <c r="E16" s="365">
        <f>+E17</f>
        <v>0</v>
      </c>
      <c r="F16" s="366">
        <f>+F17</f>
        <v>0</v>
      </c>
      <c r="G16" s="366">
        <f>+G17</f>
        <v>0</v>
      </c>
      <c r="H16" s="367">
        <f>+H17</f>
        <v>0</v>
      </c>
      <c r="I16" s="364">
        <f t="shared" si="0"/>
        <v>0</v>
      </c>
    </row>
    <row r="17" spans="1:9" ht="20.100000000000001" customHeight="1" thickBot="1">
      <c r="A17" s="386" t="s">
        <v>419</v>
      </c>
      <c r="B17" s="387" t="s">
        <v>522</v>
      </c>
      <c r="C17" s="388"/>
      <c r="D17" s="389"/>
      <c r="E17" s="390"/>
      <c r="F17" s="391"/>
      <c r="G17" s="391"/>
      <c r="H17" s="392"/>
      <c r="I17" s="393">
        <f t="shared" si="0"/>
        <v>0</v>
      </c>
    </row>
    <row r="18" spans="1:9" ht="20.100000000000001" customHeight="1" thickBot="1">
      <c r="A18" s="1869" t="s">
        <v>527</v>
      </c>
      <c r="B18" s="1870"/>
      <c r="C18" s="394"/>
      <c r="D18" s="364">
        <f t="shared" ref="D18:I18" si="2">+D6+D9+D12+D14+D16</f>
        <v>1489197</v>
      </c>
      <c r="E18" s="365">
        <f t="shared" si="2"/>
        <v>4193651</v>
      </c>
      <c r="F18" s="366">
        <f t="shared" si="2"/>
        <v>600000</v>
      </c>
      <c r="G18" s="366">
        <f t="shared" si="2"/>
        <v>600000</v>
      </c>
      <c r="H18" s="367">
        <f t="shared" si="2"/>
        <v>600000</v>
      </c>
      <c r="I18" s="364">
        <f t="shared" si="2"/>
        <v>7482848</v>
      </c>
    </row>
  </sheetData>
  <sheetProtection selectLockedCells="1" selectUnlockedCells="1"/>
  <mergeCells count="8">
    <mergeCell ref="A18:B18"/>
    <mergeCell ref="A1:I1"/>
    <mergeCell ref="A3:A4"/>
    <mergeCell ref="B3:B4"/>
    <mergeCell ref="C3:C4"/>
    <mergeCell ref="D3:D4"/>
    <mergeCell ref="E3:H3"/>
    <mergeCell ref="I3:I4"/>
  </mergeCells>
  <printOptions horizontalCentered="1"/>
  <pageMargins left="0.78740157480314965" right="0.78740157480314965" top="1.03" bottom="0.98425196850393704" header="0.78740157480314965" footer="0.78740157480314965"/>
  <pageSetup paperSize="9" scale="95" orientation="landscape" r:id="rId1"/>
  <headerFooter alignWithMargins="0">
    <oddHeader>&amp;R&amp;"Times New Roman CE,Félkövér dőlt"3. számú tájékoztató tábla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D31"/>
  <sheetViews>
    <sheetView view="pageBreakPreview" zoomScaleNormal="100" zoomScaleSheetLayoutView="100" workbookViewId="0">
      <selection activeCell="C5" sqref="C5"/>
    </sheetView>
  </sheetViews>
  <sheetFormatPr defaultColWidth="9.140625" defaultRowHeight="12.75"/>
  <cols>
    <col min="1" max="1" width="5" style="494" customWidth="1"/>
    <col min="2" max="2" width="47" style="44" customWidth="1"/>
    <col min="3" max="4" width="15.140625" style="44" customWidth="1"/>
    <col min="5" max="16384" width="9.140625" style="44"/>
  </cols>
  <sheetData>
    <row r="1" spans="1:4" ht="31.5" customHeight="1">
      <c r="B1" s="1879" t="s">
        <v>573</v>
      </c>
      <c r="C1" s="1879"/>
      <c r="D1" s="1879"/>
    </row>
    <row r="2" spans="1:4" s="497" customFormat="1" ht="16.5" thickBot="1">
      <c r="A2" s="496"/>
      <c r="B2" s="495"/>
      <c r="D2" s="498" t="s">
        <v>648</v>
      </c>
    </row>
    <row r="3" spans="1:4" s="418" customFormat="1" ht="48" customHeight="1" thickBot="1">
      <c r="A3" s="499" t="s">
        <v>491</v>
      </c>
      <c r="B3" s="416" t="s">
        <v>574</v>
      </c>
      <c r="C3" s="416" t="s">
        <v>575</v>
      </c>
      <c r="D3" s="417" t="s">
        <v>576</v>
      </c>
    </row>
    <row r="4" spans="1:4" s="418" customFormat="1" ht="14.1" customHeight="1" thickBot="1">
      <c r="A4" s="500">
        <v>1</v>
      </c>
      <c r="B4" s="501">
        <v>2</v>
      </c>
      <c r="C4" s="501">
        <v>3</v>
      </c>
      <c r="D4" s="502">
        <v>4</v>
      </c>
    </row>
    <row r="5" spans="1:4" ht="18" customHeight="1">
      <c r="A5" s="503" t="s">
        <v>184</v>
      </c>
      <c r="B5" s="504" t="s">
        <v>577</v>
      </c>
      <c r="C5" s="505">
        <f>'1.1 Összesítő'!C42</f>
        <v>1100000</v>
      </c>
      <c r="D5" s="506"/>
    </row>
    <row r="6" spans="1:4" ht="18" customHeight="1">
      <c r="A6" s="507" t="s">
        <v>198</v>
      </c>
      <c r="B6" s="508" t="s">
        <v>578</v>
      </c>
      <c r="C6" s="509"/>
      <c r="D6" s="510"/>
    </row>
    <row r="7" spans="1:4" ht="18" customHeight="1">
      <c r="A7" s="507" t="s">
        <v>212</v>
      </c>
      <c r="B7" s="508" t="s">
        <v>579</v>
      </c>
      <c r="C7" s="509"/>
      <c r="D7" s="510"/>
    </row>
    <row r="8" spans="1:4" ht="18" customHeight="1">
      <c r="A8" s="507" t="s">
        <v>381</v>
      </c>
      <c r="B8" s="508" t="s">
        <v>580</v>
      </c>
      <c r="C8" s="509"/>
      <c r="D8" s="510"/>
    </row>
    <row r="9" spans="1:4" ht="18" customHeight="1">
      <c r="A9" s="507" t="s">
        <v>233</v>
      </c>
      <c r="B9" s="508" t="s">
        <v>581</v>
      </c>
      <c r="C9" s="509">
        <f>SUM(C10:C15)</f>
        <v>14200000</v>
      </c>
      <c r="D9" s="509">
        <v>0</v>
      </c>
    </row>
    <row r="10" spans="1:4" ht="18" customHeight="1">
      <c r="A10" s="507" t="s">
        <v>255</v>
      </c>
      <c r="B10" s="508" t="s">
        <v>582</v>
      </c>
      <c r="C10" s="509"/>
      <c r="D10" s="510"/>
    </row>
    <row r="11" spans="1:4" ht="18" customHeight="1">
      <c r="A11" s="507" t="s">
        <v>392</v>
      </c>
      <c r="B11" s="511" t="s">
        <v>583</v>
      </c>
      <c r="C11" s="509">
        <f>Önkormányzat!AV150</f>
        <v>0</v>
      </c>
      <c r="D11" s="510"/>
    </row>
    <row r="12" spans="1:4" ht="18" customHeight="1">
      <c r="A12" s="507" t="s">
        <v>287</v>
      </c>
      <c r="B12" s="511" t="s">
        <v>584</v>
      </c>
      <c r="C12" s="509">
        <f>Önkormányzat!AV149</f>
        <v>3700000</v>
      </c>
      <c r="D12" s="510"/>
    </row>
    <row r="13" spans="1:4" ht="18" customHeight="1">
      <c r="A13" s="507" t="s">
        <v>404</v>
      </c>
      <c r="B13" s="511" t="s">
        <v>585</v>
      </c>
      <c r="C13" s="509"/>
      <c r="D13" s="510"/>
    </row>
    <row r="14" spans="1:4" ht="18" customHeight="1">
      <c r="A14" s="507" t="s">
        <v>418</v>
      </c>
      <c r="B14" s="511" t="s">
        <v>592</v>
      </c>
      <c r="C14" s="509"/>
      <c r="D14" s="510">
        <v>0</v>
      </c>
    </row>
    <row r="15" spans="1:4" ht="22.5" customHeight="1">
      <c r="A15" s="507" t="s">
        <v>419</v>
      </c>
      <c r="B15" s="511" t="s">
        <v>586</v>
      </c>
      <c r="C15" s="509">
        <f>'1.1 Összesítő'!C33</f>
        <v>10500000</v>
      </c>
      <c r="D15" s="510">
        <v>0</v>
      </c>
    </row>
    <row r="16" spans="1:4" ht="18" customHeight="1">
      <c r="A16" s="507" t="s">
        <v>420</v>
      </c>
      <c r="B16" s="508" t="s">
        <v>587</v>
      </c>
      <c r="C16" s="509">
        <f>'1.1 Összesítő'!C34</f>
        <v>4500000</v>
      </c>
      <c r="D16" s="510"/>
    </row>
    <row r="17" spans="1:4" ht="18" customHeight="1">
      <c r="A17" s="507" t="s">
        <v>423</v>
      </c>
      <c r="B17" s="508" t="s">
        <v>588</v>
      </c>
      <c r="C17" s="509">
        <f>'1.1 Összesítő'!C41</f>
        <v>300000</v>
      </c>
      <c r="D17" s="510"/>
    </row>
    <row r="18" spans="1:4" ht="18" customHeight="1">
      <c r="A18" s="507" t="s">
        <v>426</v>
      </c>
      <c r="B18" s="508" t="s">
        <v>589</v>
      </c>
      <c r="C18" s="509"/>
      <c r="D18" s="510"/>
    </row>
    <row r="19" spans="1:4" ht="18" customHeight="1">
      <c r="A19" s="507" t="s">
        <v>429</v>
      </c>
      <c r="B19" s="508" t="s">
        <v>590</v>
      </c>
      <c r="C19" s="509"/>
      <c r="D19" s="510"/>
    </row>
    <row r="20" spans="1:4" ht="18" customHeight="1">
      <c r="A20" s="507" t="s">
        <v>432</v>
      </c>
      <c r="B20" s="508" t="s">
        <v>591</v>
      </c>
      <c r="C20" s="509"/>
      <c r="D20" s="510"/>
    </row>
    <row r="21" spans="1:4" ht="18" customHeight="1">
      <c r="A21" s="507" t="s">
        <v>435</v>
      </c>
      <c r="B21" s="512"/>
      <c r="C21" s="513"/>
      <c r="D21" s="510"/>
    </row>
    <row r="22" spans="1:4" ht="18" customHeight="1">
      <c r="A22" s="507" t="s">
        <v>438</v>
      </c>
      <c r="B22" s="514"/>
      <c r="C22" s="513"/>
      <c r="D22" s="510"/>
    </row>
    <row r="23" spans="1:4" ht="18" customHeight="1">
      <c r="A23" s="507" t="s">
        <v>441</v>
      </c>
      <c r="B23" s="514"/>
      <c r="C23" s="513"/>
      <c r="D23" s="510"/>
    </row>
    <row r="24" spans="1:4" ht="18" customHeight="1">
      <c r="A24" s="507" t="s">
        <v>444</v>
      </c>
      <c r="B24" s="514"/>
      <c r="C24" s="513"/>
      <c r="D24" s="510"/>
    </row>
    <row r="25" spans="1:4" ht="18" customHeight="1">
      <c r="A25" s="507" t="s">
        <v>446</v>
      </c>
      <c r="B25" s="514"/>
      <c r="C25" s="513"/>
      <c r="D25" s="510"/>
    </row>
    <row r="26" spans="1:4" ht="18" customHeight="1">
      <c r="A26" s="507" t="s">
        <v>449</v>
      </c>
      <c r="B26" s="514"/>
      <c r="C26" s="513"/>
      <c r="D26" s="510"/>
    </row>
    <row r="27" spans="1:4" ht="18" customHeight="1">
      <c r="A27" s="507" t="s">
        <v>452</v>
      </c>
      <c r="B27" s="514"/>
      <c r="C27" s="513"/>
      <c r="D27" s="510"/>
    </row>
    <row r="28" spans="1:4" ht="18" customHeight="1">
      <c r="A28" s="507" t="s">
        <v>455</v>
      </c>
      <c r="B28" s="514"/>
      <c r="C28" s="513"/>
      <c r="D28" s="510"/>
    </row>
    <row r="29" spans="1:4" ht="18" customHeight="1" thickBot="1">
      <c r="A29" s="515" t="s">
        <v>486</v>
      </c>
      <c r="B29" s="516"/>
      <c r="C29" s="517"/>
      <c r="D29" s="518"/>
    </row>
    <row r="30" spans="1:4" ht="18" customHeight="1" thickBot="1">
      <c r="A30" s="519" t="s">
        <v>489</v>
      </c>
      <c r="B30" s="520" t="s">
        <v>539</v>
      </c>
      <c r="C30" s="521">
        <f>+C5+C6+C7+C8+C9+C16+C17+C18+C19+C20+C21+C22+C23+C24+C25+C26+C27+C28+C29</f>
        <v>20100000</v>
      </c>
      <c r="D30" s="522">
        <f>+D5+D6+D7+D8+D9+D16+D17+D18+D19+D20+D21+D22+D23+D24+D25+D26+D27+D28+D29</f>
        <v>0</v>
      </c>
    </row>
    <row r="31" spans="1:4" ht="8.25" customHeight="1">
      <c r="A31" s="523"/>
      <c r="B31" s="1880"/>
      <c r="C31" s="1880"/>
      <c r="D31" s="1880"/>
    </row>
  </sheetData>
  <mergeCells count="2">
    <mergeCell ref="B1:D1"/>
    <mergeCell ref="B31:D31"/>
  </mergeCells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CE,Dőlt" 4&amp;"Times New Roman CE,Félkövér dőlt". számú tájékoztató tábla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54"/>
  <sheetViews>
    <sheetView view="pageBreakPreview" topLeftCell="A22" zoomScaleNormal="100" zoomScaleSheetLayoutView="100" workbookViewId="0">
      <selection activeCell="C5" sqref="C5:D5"/>
    </sheetView>
  </sheetViews>
  <sheetFormatPr defaultColWidth="9.140625" defaultRowHeight="12.75"/>
  <cols>
    <col min="1" max="1" width="16.7109375" style="135" customWidth="1"/>
    <col min="2" max="2" width="52.5703125" style="136" customWidth="1"/>
    <col min="3" max="3" width="11" style="137" customWidth="1"/>
    <col min="4" max="4" width="13.42578125" style="137" customWidth="1"/>
    <col min="5" max="16384" width="9.140625" style="44"/>
  </cols>
  <sheetData>
    <row r="1" spans="1:4" s="31" customFormat="1" ht="16.5" customHeight="1" thickBot="1">
      <c r="A1" s="1796" t="s">
        <v>801</v>
      </c>
      <c r="B1" s="1796"/>
      <c r="C1" s="1796"/>
      <c r="D1" s="1796"/>
    </row>
    <row r="2" spans="1:4" s="34" customFormat="1" ht="21" customHeight="1">
      <c r="A2" s="32" t="s">
        <v>176</v>
      </c>
      <c r="B2" s="33" t="s">
        <v>177</v>
      </c>
      <c r="C2" s="1797" t="s">
        <v>178</v>
      </c>
      <c r="D2" s="1798"/>
    </row>
    <row r="3" spans="1:4" s="34" customFormat="1" ht="16.5" thickBot="1">
      <c r="A3" s="35" t="s">
        <v>179</v>
      </c>
      <c r="B3" s="36" t="s">
        <v>180</v>
      </c>
      <c r="C3" s="1799">
        <v>1</v>
      </c>
      <c r="D3" s="1800"/>
    </row>
    <row r="4" spans="1:4" s="39" customFormat="1" ht="15.95" customHeight="1" thickBot="1">
      <c r="A4" s="37"/>
      <c r="B4" s="38"/>
      <c r="C4" s="1801" t="s">
        <v>644</v>
      </c>
      <c r="D4" s="1802"/>
    </row>
    <row r="5" spans="1:4" ht="36.75" thickBot="1">
      <c r="A5" s="40" t="s">
        <v>181</v>
      </c>
      <c r="B5" s="41" t="s">
        <v>182</v>
      </c>
      <c r="C5" s="42" t="s">
        <v>771</v>
      </c>
      <c r="D5" s="43" t="s">
        <v>772</v>
      </c>
    </row>
    <row r="6" spans="1:4" s="49" customFormat="1" ht="12.95" customHeight="1" thickBot="1">
      <c r="A6" s="45">
        <v>1</v>
      </c>
      <c r="B6" s="46">
        <v>2</v>
      </c>
      <c r="C6" s="47">
        <v>3</v>
      </c>
      <c r="D6" s="48">
        <v>4</v>
      </c>
    </row>
    <row r="7" spans="1:4" s="49" customFormat="1" ht="15.95" customHeight="1" thickBot="1">
      <c r="A7" s="1793" t="s">
        <v>183</v>
      </c>
      <c r="B7" s="1794"/>
      <c r="C7" s="1794"/>
      <c r="D7" s="1795"/>
    </row>
    <row r="8" spans="1:4" s="49" customFormat="1" ht="12" customHeight="1" thickBot="1">
      <c r="A8" s="50" t="s">
        <v>184</v>
      </c>
      <c r="B8" s="51" t="s">
        <v>185</v>
      </c>
      <c r="C8" s="52">
        <f>+C9+C10+C11+C12+C13+C14</f>
        <v>89841283</v>
      </c>
      <c r="D8" s="53">
        <f>+D9+D10+D11+D12+D13+D14</f>
        <v>0</v>
      </c>
    </row>
    <row r="9" spans="1:4" s="58" customFormat="1" ht="12" customHeight="1">
      <c r="A9" s="54" t="s">
        <v>186</v>
      </c>
      <c r="B9" s="55" t="s">
        <v>187</v>
      </c>
      <c r="C9" s="56">
        <f>'7.1 Önkormányzat'!C9</f>
        <v>36492592</v>
      </c>
      <c r="D9" s="57"/>
    </row>
    <row r="10" spans="1:4" s="62" customFormat="1" ht="12" customHeight="1">
      <c r="A10" s="59" t="s">
        <v>188</v>
      </c>
      <c r="B10" s="60" t="s">
        <v>189</v>
      </c>
      <c r="C10" s="56">
        <f>'7.1 Önkormányzat'!C10</f>
        <v>26837550</v>
      </c>
      <c r="D10" s="61"/>
    </row>
    <row r="11" spans="1:4" s="62" customFormat="1" ht="12" customHeight="1">
      <c r="A11" s="59" t="s">
        <v>190</v>
      </c>
      <c r="B11" s="60" t="s">
        <v>191</v>
      </c>
      <c r="C11" s="56">
        <f>'7.1 Önkormányzat'!C11</f>
        <v>24620880</v>
      </c>
      <c r="D11" s="61"/>
    </row>
    <row r="12" spans="1:4" s="62" customFormat="1" ht="12" customHeight="1">
      <c r="A12" s="59" t="s">
        <v>192</v>
      </c>
      <c r="B12" s="60" t="s">
        <v>193</v>
      </c>
      <c r="C12" s="56">
        <f>'7.1 Önkormányzat'!C12</f>
        <v>1890261</v>
      </c>
      <c r="D12" s="61"/>
    </row>
    <row r="13" spans="1:4" s="62" customFormat="1" ht="12" customHeight="1">
      <c r="A13" s="59" t="s">
        <v>194</v>
      </c>
      <c r="B13" s="60" t="s">
        <v>195</v>
      </c>
      <c r="C13" s="56"/>
      <c r="D13" s="61"/>
    </row>
    <row r="14" spans="1:4" s="58" customFormat="1" ht="12" customHeight="1" thickBot="1">
      <c r="A14" s="63" t="s">
        <v>196</v>
      </c>
      <c r="B14" s="64" t="s">
        <v>197</v>
      </c>
      <c r="C14" s="56"/>
      <c r="D14" s="61"/>
    </row>
    <row r="15" spans="1:4" s="58" customFormat="1" ht="23.25" customHeight="1" thickBot="1">
      <c r="A15" s="50" t="s">
        <v>198</v>
      </c>
      <c r="B15" s="65" t="s">
        <v>199</v>
      </c>
      <c r="C15" s="52">
        <f>+C16+C17+C18+C19+C20</f>
        <v>25243825.150000002</v>
      </c>
      <c r="D15" s="53">
        <f>+D16+D17+D18+D19+D20</f>
        <v>0</v>
      </c>
    </row>
    <row r="16" spans="1:4" s="58" customFormat="1" ht="12" customHeight="1">
      <c r="A16" s="54" t="s">
        <v>200</v>
      </c>
      <c r="B16" s="55" t="s">
        <v>201</v>
      </c>
      <c r="C16" s="56"/>
      <c r="D16" s="66"/>
    </row>
    <row r="17" spans="1:4" s="58" customFormat="1" ht="12" customHeight="1">
      <c r="A17" s="59" t="s">
        <v>202</v>
      </c>
      <c r="B17" s="60" t="s">
        <v>203</v>
      </c>
      <c r="C17" s="56"/>
      <c r="D17" s="67"/>
    </row>
    <row r="18" spans="1:4" s="58" customFormat="1" ht="12" customHeight="1">
      <c r="A18" s="59" t="s">
        <v>204</v>
      </c>
      <c r="B18" s="60" t="s">
        <v>205</v>
      </c>
      <c r="C18" s="56"/>
      <c r="D18" s="67"/>
    </row>
    <row r="19" spans="1:4" s="58" customFormat="1" ht="12" customHeight="1">
      <c r="A19" s="59" t="s">
        <v>206</v>
      </c>
      <c r="B19" s="60" t="s">
        <v>207</v>
      </c>
      <c r="C19" s="56"/>
      <c r="D19" s="67"/>
    </row>
    <row r="20" spans="1:4" s="58" customFormat="1" ht="12" customHeight="1">
      <c r="A20" s="59" t="s">
        <v>208</v>
      </c>
      <c r="B20" s="60" t="s">
        <v>209</v>
      </c>
      <c r="C20" s="56">
        <f>'7.1 Önkormányzat'!C20</f>
        <v>25243825.150000002</v>
      </c>
      <c r="D20" s="61"/>
    </row>
    <row r="21" spans="1:4" s="62" customFormat="1" ht="12" customHeight="1" thickBot="1">
      <c r="A21" s="63" t="s">
        <v>210</v>
      </c>
      <c r="B21" s="64" t="s">
        <v>211</v>
      </c>
      <c r="C21" s="56"/>
      <c r="D21" s="68"/>
    </row>
    <row r="22" spans="1:4" s="62" customFormat="1" ht="22.5" customHeight="1" thickBot="1">
      <c r="A22" s="50" t="s">
        <v>212</v>
      </c>
      <c r="B22" s="51" t="s">
        <v>213</v>
      </c>
      <c r="C22" s="52">
        <f>+C23+C24+C25+C26+C27</f>
        <v>6181639</v>
      </c>
      <c r="D22" s="53">
        <f>+D23+D24+D25+D26+D27</f>
        <v>0</v>
      </c>
    </row>
    <row r="23" spans="1:4" s="62" customFormat="1" ht="12" customHeight="1">
      <c r="A23" s="54" t="s">
        <v>214</v>
      </c>
      <c r="B23" s="55" t="s">
        <v>215</v>
      </c>
      <c r="C23" s="56"/>
      <c r="D23" s="66"/>
    </row>
    <row r="24" spans="1:4" s="58" customFormat="1" ht="12" customHeight="1">
      <c r="A24" s="59" t="s">
        <v>216</v>
      </c>
      <c r="B24" s="60" t="s">
        <v>217</v>
      </c>
      <c r="C24" s="56"/>
      <c r="D24" s="67"/>
    </row>
    <row r="25" spans="1:4" s="62" customFormat="1" ht="12" customHeight="1">
      <c r="A25" s="59" t="s">
        <v>218</v>
      </c>
      <c r="B25" s="60" t="s">
        <v>219</v>
      </c>
      <c r="C25" s="56"/>
      <c r="D25" s="67"/>
    </row>
    <row r="26" spans="1:4" s="62" customFormat="1" ht="12" customHeight="1">
      <c r="A26" s="59" t="s">
        <v>220</v>
      </c>
      <c r="B26" s="60" t="s">
        <v>221</v>
      </c>
      <c r="C26" s="56"/>
      <c r="D26" s="67"/>
    </row>
    <row r="27" spans="1:4" s="62" customFormat="1" ht="12" customHeight="1">
      <c r="A27" s="59" t="s">
        <v>222</v>
      </c>
      <c r="B27" s="60" t="s">
        <v>223</v>
      </c>
      <c r="C27" s="56">
        <f>'7.1 Önkormányzat'!C27</f>
        <v>6181639</v>
      </c>
      <c r="D27" s="61"/>
    </row>
    <row r="28" spans="1:4" s="62" customFormat="1" ht="12" customHeight="1" thickBot="1">
      <c r="A28" s="63" t="s">
        <v>224</v>
      </c>
      <c r="B28" s="64" t="s">
        <v>225</v>
      </c>
      <c r="C28" s="56"/>
      <c r="D28" s="68"/>
    </row>
    <row r="29" spans="1:4" s="62" customFormat="1" ht="12" customHeight="1" thickBot="1">
      <c r="A29" s="50" t="s">
        <v>226</v>
      </c>
      <c r="B29" s="51" t="s">
        <v>227</v>
      </c>
      <c r="C29" s="69">
        <f>+C30+C36</f>
        <v>18830000</v>
      </c>
      <c r="D29" s="70">
        <f>+D30+D34+D35+D36</f>
        <v>0</v>
      </c>
    </row>
    <row r="30" spans="1:4" s="62" customFormat="1" ht="12" customHeight="1">
      <c r="A30" s="54" t="s">
        <v>228</v>
      </c>
      <c r="B30" s="55" t="s">
        <v>552</v>
      </c>
      <c r="C30" s="71">
        <f>SUM(C31:C35)</f>
        <v>18700000</v>
      </c>
      <c r="D30" s="72"/>
    </row>
    <row r="31" spans="1:4" s="62" customFormat="1" ht="12" customHeight="1">
      <c r="A31" s="59" t="s">
        <v>229</v>
      </c>
      <c r="B31" s="452" t="s">
        <v>599</v>
      </c>
      <c r="C31" s="56"/>
      <c r="D31" s="72"/>
    </row>
    <row r="32" spans="1:4" s="62" customFormat="1" ht="12" customHeight="1">
      <c r="A32" s="59" t="s">
        <v>231</v>
      </c>
      <c r="B32" s="60" t="s">
        <v>230</v>
      </c>
      <c r="C32" s="56">
        <f>'7.1 Önkormányzat'!C32</f>
        <v>3700000</v>
      </c>
      <c r="D32" s="61"/>
    </row>
    <row r="33" spans="1:4" s="62" customFormat="1" ht="12" customHeight="1">
      <c r="A33" s="59" t="s">
        <v>549</v>
      </c>
      <c r="B33" s="452" t="s">
        <v>550</v>
      </c>
      <c r="C33" s="56">
        <f>'7.1 Önkormányzat'!C33</f>
        <v>10500000</v>
      </c>
      <c r="D33" s="61"/>
    </row>
    <row r="34" spans="1:4" s="62" customFormat="1" ht="12" customHeight="1">
      <c r="A34" s="59" t="s">
        <v>551</v>
      </c>
      <c r="B34" s="452" t="s">
        <v>548</v>
      </c>
      <c r="C34" s="56">
        <f>'7.1 Önkormányzat'!C34</f>
        <v>4500000</v>
      </c>
      <c r="D34" s="61"/>
    </row>
    <row r="35" spans="1:4" s="62" customFormat="1" ht="12" customHeight="1">
      <c r="A35" s="59" t="s">
        <v>597</v>
      </c>
      <c r="B35" s="452" t="s">
        <v>598</v>
      </c>
      <c r="C35" s="56"/>
      <c r="D35" s="61"/>
    </row>
    <row r="36" spans="1:4" s="62" customFormat="1" ht="12" customHeight="1" thickBot="1">
      <c r="A36" s="63" t="s">
        <v>232</v>
      </c>
      <c r="B36" s="64" t="s">
        <v>6</v>
      </c>
      <c r="C36" s="56">
        <f>'7.1 Önkormányzat'!C36</f>
        <v>130000</v>
      </c>
      <c r="D36" s="73"/>
    </row>
    <row r="37" spans="1:4" s="62" customFormat="1" ht="12" customHeight="1" thickBot="1">
      <c r="A37" s="50" t="s">
        <v>233</v>
      </c>
      <c r="B37" s="51" t="s">
        <v>234</v>
      </c>
      <c r="C37" s="52">
        <f>SUM(C38:C47)</f>
        <v>19133486.52</v>
      </c>
      <c r="D37" s="53">
        <f>SUM(D38:D47)</f>
        <v>0</v>
      </c>
    </row>
    <row r="38" spans="1:4" s="62" customFormat="1" ht="12" customHeight="1">
      <c r="A38" s="54" t="s">
        <v>235</v>
      </c>
      <c r="B38" s="55" t="s">
        <v>236</v>
      </c>
      <c r="C38" s="56"/>
      <c r="D38" s="67"/>
    </row>
    <row r="39" spans="1:4" s="62" customFormat="1" ht="12" customHeight="1">
      <c r="A39" s="59" t="s">
        <v>237</v>
      </c>
      <c r="B39" s="60" t="s">
        <v>238</v>
      </c>
      <c r="C39" s="56">
        <f>'7.1 Önkormányzat'!C39+'7.2 Óvoda'!C10</f>
        <v>9025760</v>
      </c>
      <c r="D39" s="67"/>
    </row>
    <row r="40" spans="1:4" s="62" customFormat="1" ht="12" customHeight="1">
      <c r="A40" s="59" t="s">
        <v>239</v>
      </c>
      <c r="B40" s="60" t="s">
        <v>240</v>
      </c>
      <c r="C40" s="56">
        <f>'7.1 Önkormányzat'!C40</f>
        <v>228000</v>
      </c>
      <c r="D40" s="67"/>
    </row>
    <row r="41" spans="1:4" s="62" customFormat="1" ht="12" customHeight="1">
      <c r="A41" s="59" t="s">
        <v>241</v>
      </c>
      <c r="B41" s="60" t="s">
        <v>242</v>
      </c>
      <c r="C41" s="56">
        <f>'7.1 Önkormányzat'!C41</f>
        <v>300000</v>
      </c>
      <c r="D41" s="67"/>
    </row>
    <row r="42" spans="1:4" s="62" customFormat="1" ht="12" customHeight="1">
      <c r="A42" s="59" t="s">
        <v>243</v>
      </c>
      <c r="B42" s="60" t="s">
        <v>244</v>
      </c>
      <c r="C42" s="56">
        <f>'7.2 Óvoda'!C13</f>
        <v>1100000</v>
      </c>
      <c r="D42" s="67"/>
    </row>
    <row r="43" spans="1:4" s="62" customFormat="1" ht="12" customHeight="1">
      <c r="A43" s="59" t="s">
        <v>245</v>
      </c>
      <c r="B43" s="60" t="s">
        <v>246</v>
      </c>
      <c r="C43" s="56">
        <f>'7.1 Önkormányzat'!C43+'7.2 Óvoda'!C14</f>
        <v>4991932.8</v>
      </c>
      <c r="D43" s="67"/>
    </row>
    <row r="44" spans="1:4" s="62" customFormat="1" ht="12" customHeight="1">
      <c r="A44" s="59" t="s">
        <v>247</v>
      </c>
      <c r="B44" s="60" t="s">
        <v>248</v>
      </c>
      <c r="C44" s="56">
        <f>'7.1 Önkormányzat'!C44+'7.2 Óvoda'!C15</f>
        <v>3382293.72</v>
      </c>
      <c r="D44" s="67"/>
    </row>
    <row r="45" spans="1:4" s="62" customFormat="1" ht="12" customHeight="1">
      <c r="A45" s="59" t="s">
        <v>249</v>
      </c>
      <c r="B45" s="60" t="s">
        <v>250</v>
      </c>
      <c r="C45" s="56">
        <f>'7.1 Önkormányzat'!C45+'7.2 Óvoda'!C16</f>
        <v>105000</v>
      </c>
      <c r="D45" s="67"/>
    </row>
    <row r="46" spans="1:4" s="62" customFormat="1" ht="12" customHeight="1">
      <c r="A46" s="59" t="s">
        <v>251</v>
      </c>
      <c r="B46" s="60" t="s">
        <v>252</v>
      </c>
      <c r="C46" s="56"/>
      <c r="D46" s="74"/>
    </row>
    <row r="47" spans="1:4" s="62" customFormat="1" ht="12" customHeight="1" thickBot="1">
      <c r="A47" s="63" t="s">
        <v>253</v>
      </c>
      <c r="B47" s="64" t="s">
        <v>254</v>
      </c>
      <c r="C47" s="56">
        <f>'7.1 Önkormányzat'!C47+'7.2 Óvoda'!C18</f>
        <v>500</v>
      </c>
      <c r="D47" s="75"/>
    </row>
    <row r="48" spans="1:4" s="62" customFormat="1" ht="12" customHeight="1" thickBot="1">
      <c r="A48" s="50" t="s">
        <v>255</v>
      </c>
      <c r="B48" s="51" t="s">
        <v>256</v>
      </c>
      <c r="C48" s="52">
        <f>SUM(C49:C53)</f>
        <v>9300000</v>
      </c>
      <c r="D48" s="53">
        <f>SUM(D49:D53)</f>
        <v>0</v>
      </c>
    </row>
    <row r="49" spans="1:4" s="62" customFormat="1" ht="12" customHeight="1">
      <c r="A49" s="54" t="s">
        <v>257</v>
      </c>
      <c r="B49" s="55" t="s">
        <v>258</v>
      </c>
      <c r="C49" s="56"/>
      <c r="D49" s="76"/>
    </row>
    <row r="50" spans="1:4" s="62" customFormat="1" ht="12" customHeight="1">
      <c r="A50" s="59" t="s">
        <v>259</v>
      </c>
      <c r="B50" s="60" t="s">
        <v>260</v>
      </c>
      <c r="C50" s="56">
        <f>'7.1 Önkormányzat'!C50</f>
        <v>9300000</v>
      </c>
      <c r="D50" s="74"/>
    </row>
    <row r="51" spans="1:4" s="62" customFormat="1" ht="12" customHeight="1">
      <c r="A51" s="59" t="s">
        <v>261</v>
      </c>
      <c r="B51" s="60" t="s">
        <v>262</v>
      </c>
      <c r="C51" s="56"/>
      <c r="D51" s="74"/>
    </row>
    <row r="52" spans="1:4" s="62" customFormat="1" ht="12" customHeight="1">
      <c r="A52" s="59" t="s">
        <v>263</v>
      </c>
      <c r="B52" s="60" t="s">
        <v>264</v>
      </c>
      <c r="C52" s="56"/>
      <c r="D52" s="74"/>
    </row>
    <row r="53" spans="1:4" s="62" customFormat="1" ht="12" customHeight="1" thickBot="1">
      <c r="A53" s="63" t="s">
        <v>265</v>
      </c>
      <c r="B53" s="64" t="s">
        <v>266</v>
      </c>
      <c r="C53" s="56"/>
      <c r="D53" s="75"/>
    </row>
    <row r="54" spans="1:4" s="62" customFormat="1" ht="12" customHeight="1" thickBot="1">
      <c r="A54" s="50" t="s">
        <v>267</v>
      </c>
      <c r="B54" s="51" t="s">
        <v>268</v>
      </c>
      <c r="C54" s="52">
        <f>SUM(C55:C57)</f>
        <v>300000</v>
      </c>
      <c r="D54" s="53">
        <f>SUM(D55:D57)</f>
        <v>0</v>
      </c>
    </row>
    <row r="55" spans="1:4" s="62" customFormat="1" ht="12" customHeight="1">
      <c r="A55" s="54" t="s">
        <v>269</v>
      </c>
      <c r="B55" s="55" t="s">
        <v>270</v>
      </c>
      <c r="C55" s="56"/>
      <c r="D55" s="66"/>
    </row>
    <row r="56" spans="1:4" s="62" customFormat="1" ht="12" customHeight="1">
      <c r="A56" s="59" t="s">
        <v>271</v>
      </c>
      <c r="B56" s="60" t="s">
        <v>272</v>
      </c>
      <c r="C56" s="56"/>
      <c r="D56" s="67"/>
    </row>
    <row r="57" spans="1:4" s="62" customFormat="1" ht="12" customHeight="1">
      <c r="A57" s="59" t="s">
        <v>273</v>
      </c>
      <c r="B57" s="60" t="s">
        <v>274</v>
      </c>
      <c r="C57" s="56">
        <f>'7.1 Önkormányzat'!C57+'7.2 Óvoda'!C33</f>
        <v>300000</v>
      </c>
      <c r="D57" s="61"/>
    </row>
    <row r="58" spans="1:4" s="62" customFormat="1" ht="12" customHeight="1" thickBot="1">
      <c r="A58" s="63" t="s">
        <v>275</v>
      </c>
      <c r="B58" s="64" t="s">
        <v>276</v>
      </c>
      <c r="C58" s="56"/>
      <c r="D58" s="73"/>
    </row>
    <row r="59" spans="1:4" s="62" customFormat="1" ht="12" customHeight="1" thickBot="1">
      <c r="A59" s="50" t="s">
        <v>277</v>
      </c>
      <c r="B59" s="65" t="s">
        <v>278</v>
      </c>
      <c r="C59" s="52">
        <f>SUM(C60:C62)</f>
        <v>0</v>
      </c>
      <c r="D59" s="77">
        <f>SUM(D60:D62)</f>
        <v>0</v>
      </c>
    </row>
    <row r="60" spans="1:4" s="62" customFormat="1" ht="12" customHeight="1">
      <c r="A60" s="54" t="s">
        <v>279</v>
      </c>
      <c r="B60" s="55" t="s">
        <v>280</v>
      </c>
      <c r="C60" s="56"/>
      <c r="D60" s="61"/>
    </row>
    <row r="61" spans="1:4" s="62" customFormat="1" ht="12" customHeight="1">
      <c r="A61" s="59" t="s">
        <v>281</v>
      </c>
      <c r="B61" s="60" t="s">
        <v>282</v>
      </c>
      <c r="C61" s="56"/>
      <c r="D61" s="67"/>
    </row>
    <row r="62" spans="1:4" s="62" customFormat="1" ht="12" customHeight="1">
      <c r="A62" s="59" t="s">
        <v>283</v>
      </c>
      <c r="B62" s="60" t="s">
        <v>284</v>
      </c>
      <c r="C62" s="56"/>
      <c r="D62" s="67"/>
    </row>
    <row r="63" spans="1:4" s="62" customFormat="1" ht="12" customHeight="1" thickBot="1">
      <c r="A63" s="63" t="s">
        <v>285</v>
      </c>
      <c r="B63" s="64" t="s">
        <v>286</v>
      </c>
      <c r="C63" s="56"/>
      <c r="D63" s="74"/>
    </row>
    <row r="64" spans="1:4" s="62" customFormat="1" ht="12" customHeight="1" thickBot="1">
      <c r="A64" s="50" t="s">
        <v>287</v>
      </c>
      <c r="B64" s="51" t="s">
        <v>288</v>
      </c>
      <c r="C64" s="69">
        <f>+C8+C15+C22+C29+C37+C48+C54+C59</f>
        <v>168830233.67000002</v>
      </c>
      <c r="D64" s="70">
        <f>+D8+D15+D22+D29+D37+D48+D54+D59</f>
        <v>0</v>
      </c>
    </row>
    <row r="65" spans="1:4" s="62" customFormat="1" ht="12" customHeight="1" thickBot="1">
      <c r="A65" s="78" t="s">
        <v>289</v>
      </c>
      <c r="B65" s="65" t="s">
        <v>290</v>
      </c>
      <c r="C65" s="52">
        <f>SUM(C66:C68)</f>
        <v>0</v>
      </c>
      <c r="D65" s="53">
        <f>SUM(D66:D68)</f>
        <v>0</v>
      </c>
    </row>
    <row r="66" spans="1:4" s="62" customFormat="1" ht="12" customHeight="1">
      <c r="A66" s="54" t="s">
        <v>291</v>
      </c>
      <c r="B66" s="55" t="s">
        <v>292</v>
      </c>
      <c r="C66" s="56">
        <f>'7.1 Önkormányzat'!C66</f>
        <v>0</v>
      </c>
      <c r="D66" s="74"/>
    </row>
    <row r="67" spans="1:4" s="62" customFormat="1" ht="12" customHeight="1">
      <c r="A67" s="59" t="s">
        <v>293</v>
      </c>
      <c r="B67" s="60" t="s">
        <v>294</v>
      </c>
      <c r="C67" s="56"/>
      <c r="D67" s="74"/>
    </row>
    <row r="68" spans="1:4" s="62" customFormat="1" ht="12" customHeight="1" thickBot="1">
      <c r="A68" s="63" t="s">
        <v>295</v>
      </c>
      <c r="B68" s="79" t="s">
        <v>296</v>
      </c>
      <c r="C68" s="56"/>
      <c r="D68" s="74"/>
    </row>
    <row r="69" spans="1:4" s="62" customFormat="1" ht="12" customHeight="1" thickBot="1">
      <c r="A69" s="78" t="s">
        <v>297</v>
      </c>
      <c r="B69" s="65" t="s">
        <v>298</v>
      </c>
      <c r="C69" s="52">
        <f>SUM(C70:C73)</f>
        <v>0</v>
      </c>
      <c r="D69" s="53">
        <f>SUM(D70:D73)</f>
        <v>0</v>
      </c>
    </row>
    <row r="70" spans="1:4" s="62" customFormat="1" ht="12" customHeight="1">
      <c r="A70" s="54" t="s">
        <v>299</v>
      </c>
      <c r="B70" s="55" t="s">
        <v>300</v>
      </c>
      <c r="C70" s="56"/>
      <c r="D70" s="74"/>
    </row>
    <row r="71" spans="1:4" s="62" customFormat="1" ht="12" customHeight="1">
      <c r="A71" s="59" t="s">
        <v>301</v>
      </c>
      <c r="B71" s="60" t="s">
        <v>302</v>
      </c>
      <c r="C71" s="56"/>
      <c r="D71" s="74"/>
    </row>
    <row r="72" spans="1:4" s="62" customFormat="1" ht="12" customHeight="1">
      <c r="A72" s="59" t="s">
        <v>303</v>
      </c>
      <c r="B72" s="60" t="s">
        <v>304</v>
      </c>
      <c r="C72" s="56"/>
      <c r="D72" s="74"/>
    </row>
    <row r="73" spans="1:4" s="62" customFormat="1" ht="12" customHeight="1" thickBot="1">
      <c r="A73" s="80" t="s">
        <v>305</v>
      </c>
      <c r="B73" s="81" t="s">
        <v>306</v>
      </c>
      <c r="C73" s="56"/>
      <c r="D73" s="82"/>
    </row>
    <row r="74" spans="1:4" s="62" customFormat="1" ht="12" customHeight="1" thickBot="1">
      <c r="A74" s="78" t="s">
        <v>307</v>
      </c>
      <c r="B74" s="65" t="s">
        <v>308</v>
      </c>
      <c r="C74" s="52">
        <f>SUM(C75:C76)</f>
        <v>82895435</v>
      </c>
      <c r="D74" s="53">
        <f>SUM(D75:D76)</f>
        <v>0</v>
      </c>
    </row>
    <row r="75" spans="1:4" s="62" customFormat="1" ht="12" customHeight="1">
      <c r="A75" s="54" t="s">
        <v>309</v>
      </c>
      <c r="B75" s="55" t="s">
        <v>310</v>
      </c>
      <c r="C75" s="56">
        <f>'7.1 Önkormányzat'!C75+'7.2 Óvoda'!C37</f>
        <v>82895435</v>
      </c>
      <c r="D75" s="74"/>
    </row>
    <row r="76" spans="1:4" s="62" customFormat="1" ht="12" customHeight="1" thickBot="1">
      <c r="A76" s="63" t="s">
        <v>311</v>
      </c>
      <c r="B76" s="64" t="s">
        <v>312</v>
      </c>
      <c r="C76" s="56"/>
      <c r="D76" s="74"/>
    </row>
    <row r="77" spans="1:4" s="58" customFormat="1" ht="12" customHeight="1" thickBot="1">
      <c r="A77" s="78" t="s">
        <v>313</v>
      </c>
      <c r="B77" s="65" t="s">
        <v>314</v>
      </c>
      <c r="C77" s="52">
        <f>SUM(C78:C80)</f>
        <v>0</v>
      </c>
      <c r="D77" s="53">
        <f>SUM(D78:D80)</f>
        <v>0</v>
      </c>
    </row>
    <row r="78" spans="1:4" s="62" customFormat="1" ht="12" customHeight="1">
      <c r="A78" s="54" t="s">
        <v>315</v>
      </c>
      <c r="B78" s="55" t="s">
        <v>316</v>
      </c>
      <c r="C78" s="56"/>
      <c r="D78" s="74"/>
    </row>
    <row r="79" spans="1:4" s="62" customFormat="1" ht="12" customHeight="1">
      <c r="A79" s="59" t="s">
        <v>317</v>
      </c>
      <c r="B79" s="60" t="s">
        <v>318</v>
      </c>
      <c r="C79" s="56"/>
      <c r="D79" s="74"/>
    </row>
    <row r="80" spans="1:4" s="62" customFormat="1" ht="12" customHeight="1" thickBot="1">
      <c r="A80" s="63" t="s">
        <v>319</v>
      </c>
      <c r="B80" s="64" t="s">
        <v>320</v>
      </c>
      <c r="C80" s="56"/>
      <c r="D80" s="74"/>
    </row>
    <row r="81" spans="1:4" s="62" customFormat="1" ht="12" customHeight="1" thickBot="1">
      <c r="A81" s="78" t="s">
        <v>321</v>
      </c>
      <c r="B81" s="65" t="s">
        <v>322</v>
      </c>
      <c r="C81" s="52">
        <f>SUM(C82:C85)</f>
        <v>0</v>
      </c>
      <c r="D81" s="53">
        <f>SUM(D82:D85)</f>
        <v>0</v>
      </c>
    </row>
    <row r="82" spans="1:4" s="62" customFormat="1" ht="12" customHeight="1">
      <c r="A82" s="83" t="s">
        <v>323</v>
      </c>
      <c r="B82" s="55" t="s">
        <v>324</v>
      </c>
      <c r="C82" s="56"/>
      <c r="D82" s="74"/>
    </row>
    <row r="83" spans="1:4" s="62" customFormat="1" ht="12" customHeight="1">
      <c r="A83" s="84" t="s">
        <v>325</v>
      </c>
      <c r="B83" s="60" t="s">
        <v>326</v>
      </c>
      <c r="C83" s="56"/>
      <c r="D83" s="74"/>
    </row>
    <row r="84" spans="1:4" s="62" customFormat="1" ht="12" customHeight="1">
      <c r="A84" s="84" t="s">
        <v>327</v>
      </c>
      <c r="B84" s="60" t="s">
        <v>328</v>
      </c>
      <c r="C84" s="56"/>
      <c r="D84" s="74"/>
    </row>
    <row r="85" spans="1:4" s="58" customFormat="1" ht="12" customHeight="1" thickBot="1">
      <c r="A85" s="85" t="s">
        <v>329</v>
      </c>
      <c r="B85" s="64" t="s">
        <v>330</v>
      </c>
      <c r="C85" s="56"/>
      <c r="D85" s="74"/>
    </row>
    <row r="86" spans="1:4" s="58" customFormat="1" ht="12" customHeight="1" thickBot="1">
      <c r="A86" s="78" t="s">
        <v>331</v>
      </c>
      <c r="B86" s="65" t="s">
        <v>332</v>
      </c>
      <c r="C86" s="86"/>
      <c r="D86" s="87"/>
    </row>
    <row r="87" spans="1:4" s="58" customFormat="1" ht="12" customHeight="1" thickBot="1">
      <c r="A87" s="78" t="s">
        <v>333</v>
      </c>
      <c r="B87" s="88" t="s">
        <v>334</v>
      </c>
      <c r="C87" s="69">
        <f>+C65+C69+C74+C77+C81+C86</f>
        <v>82895435</v>
      </c>
      <c r="D87" s="70">
        <f>+D65+D69+D74+D77+D81+D86</f>
        <v>0</v>
      </c>
    </row>
    <row r="88" spans="1:4" s="58" customFormat="1" ht="12" customHeight="1" thickBot="1">
      <c r="A88" s="89" t="s">
        <v>335</v>
      </c>
      <c r="B88" s="90" t="s">
        <v>336</v>
      </c>
      <c r="C88" s="69">
        <f>+C64+C87</f>
        <v>251725668.67000002</v>
      </c>
      <c r="D88" s="70">
        <f>+D64+D87</f>
        <v>0</v>
      </c>
    </row>
    <row r="89" spans="1:4" s="62" customFormat="1" ht="15" customHeight="1">
      <c r="A89" s="91"/>
      <c r="B89" s="92"/>
      <c r="C89" s="93"/>
      <c r="D89" s="93"/>
    </row>
    <row r="90" spans="1:4" ht="13.5" thickBot="1">
      <c r="A90" s="94"/>
      <c r="B90" s="95"/>
      <c r="C90" s="96"/>
      <c r="D90" s="96"/>
    </row>
    <row r="91" spans="1:4" s="49" customFormat="1" ht="16.5" customHeight="1" thickBot="1">
      <c r="A91" s="1793" t="s">
        <v>337</v>
      </c>
      <c r="B91" s="1794"/>
      <c r="C91" s="1794"/>
      <c r="D91" s="1795"/>
    </row>
    <row r="92" spans="1:4" s="101" customFormat="1" ht="12" customHeight="1" thickBot="1">
      <c r="A92" s="97" t="s">
        <v>184</v>
      </c>
      <c r="B92" s="98" t="s">
        <v>338</v>
      </c>
      <c r="C92" s="99">
        <f>SUM(C93:C97)</f>
        <v>146343025.65000001</v>
      </c>
      <c r="D92" s="100">
        <f>SUM(D93:D97)</f>
        <v>0</v>
      </c>
    </row>
    <row r="93" spans="1:4" ht="12" customHeight="1">
      <c r="A93" s="102" t="s">
        <v>186</v>
      </c>
      <c r="B93" s="103" t="s">
        <v>339</v>
      </c>
      <c r="C93" s="453">
        <f>'7.1 Önkormányzat'!C93+'7.2 Óvoda'!C45</f>
        <v>59360220</v>
      </c>
      <c r="D93" s="104"/>
    </row>
    <row r="94" spans="1:4" ht="12" customHeight="1">
      <c r="A94" s="59" t="s">
        <v>188</v>
      </c>
      <c r="B94" s="105" t="s">
        <v>1</v>
      </c>
      <c r="C94" s="454">
        <f>'7.1 Önkormányzat'!C94+'7.2 Óvoda'!C46</f>
        <v>10406476</v>
      </c>
      <c r="D94" s="67"/>
    </row>
    <row r="95" spans="1:4" ht="12" customHeight="1">
      <c r="A95" s="59" t="s">
        <v>190</v>
      </c>
      <c r="B95" s="105" t="s">
        <v>340</v>
      </c>
      <c r="C95" s="454">
        <f>'7.1 Önkormányzat'!C95+'7.2 Óvoda'!C47</f>
        <v>68962029.650000006</v>
      </c>
      <c r="D95" s="68"/>
    </row>
    <row r="96" spans="1:4" ht="12" customHeight="1">
      <c r="A96" s="59" t="s">
        <v>192</v>
      </c>
      <c r="B96" s="106" t="s">
        <v>7</v>
      </c>
      <c r="C96" s="454">
        <f>'7.1 Önkormányzat'!C96</f>
        <v>2850000</v>
      </c>
      <c r="D96" s="68"/>
    </row>
    <row r="97" spans="1:4" ht="12" customHeight="1">
      <c r="A97" s="59" t="s">
        <v>341</v>
      </c>
      <c r="B97" s="107" t="s">
        <v>11</v>
      </c>
      <c r="C97" s="454">
        <f>SUM(C98:C107)</f>
        <v>4764300</v>
      </c>
      <c r="D97" s="68">
        <f>SUM(D98:D107)</f>
        <v>0</v>
      </c>
    </row>
    <row r="98" spans="1:4" ht="12" customHeight="1">
      <c r="A98" s="59" t="s">
        <v>196</v>
      </c>
      <c r="B98" s="105" t="s">
        <v>342</v>
      </c>
      <c r="C98" s="454"/>
      <c r="D98" s="68"/>
    </row>
    <row r="99" spans="1:4" ht="12" customHeight="1">
      <c r="A99" s="59" t="s">
        <v>343</v>
      </c>
      <c r="B99" s="108" t="s">
        <v>344</v>
      </c>
      <c r="C99" s="454"/>
      <c r="D99" s="68"/>
    </row>
    <row r="100" spans="1:4" ht="12" customHeight="1">
      <c r="A100" s="59" t="s">
        <v>345</v>
      </c>
      <c r="B100" s="109" t="s">
        <v>346</v>
      </c>
      <c r="C100" s="454"/>
      <c r="D100" s="68"/>
    </row>
    <row r="101" spans="1:4" ht="12" customHeight="1">
      <c r="A101" s="59" t="s">
        <v>347</v>
      </c>
      <c r="B101" s="109" t="s">
        <v>348</v>
      </c>
      <c r="C101" s="454"/>
      <c r="D101" s="68"/>
    </row>
    <row r="102" spans="1:4" ht="12" customHeight="1">
      <c r="A102" s="59" t="s">
        <v>349</v>
      </c>
      <c r="B102" s="108" t="s">
        <v>350</v>
      </c>
      <c r="C102" s="454">
        <f>'7.1 Önkormányzat'!C102</f>
        <v>2172300</v>
      </c>
      <c r="D102" s="68"/>
    </row>
    <row r="103" spans="1:4" ht="12" customHeight="1">
      <c r="A103" s="59" t="s">
        <v>351</v>
      </c>
      <c r="B103" s="108" t="s">
        <v>352</v>
      </c>
      <c r="C103" s="454"/>
      <c r="D103" s="68"/>
    </row>
    <row r="104" spans="1:4" ht="12" customHeight="1">
      <c r="A104" s="59" t="s">
        <v>353</v>
      </c>
      <c r="B104" s="109" t="s">
        <v>354</v>
      </c>
      <c r="C104" s="454"/>
      <c r="D104" s="68"/>
    </row>
    <row r="105" spans="1:4" ht="12" customHeight="1">
      <c r="A105" s="110" t="s">
        <v>355</v>
      </c>
      <c r="B105" s="111" t="s">
        <v>356</v>
      </c>
      <c r="C105" s="454"/>
      <c r="D105" s="68"/>
    </row>
    <row r="106" spans="1:4" ht="12" customHeight="1">
      <c r="A106" s="59" t="s">
        <v>357</v>
      </c>
      <c r="B106" s="111" t="s">
        <v>358</v>
      </c>
      <c r="C106" s="454"/>
      <c r="D106" s="68"/>
    </row>
    <row r="107" spans="1:4" ht="12" customHeight="1" thickBot="1">
      <c r="A107" s="80" t="s">
        <v>359</v>
      </c>
      <c r="B107" s="112" t="s">
        <v>360</v>
      </c>
      <c r="C107" s="596">
        <f>'7.1 Önkormányzat'!C107</f>
        <v>2592000</v>
      </c>
      <c r="D107" s="113"/>
    </row>
    <row r="108" spans="1:4" ht="12" customHeight="1" thickBot="1">
      <c r="A108" s="50" t="s">
        <v>198</v>
      </c>
      <c r="B108" s="114" t="s">
        <v>361</v>
      </c>
      <c r="C108" s="52">
        <f>+C109+C111+C113</f>
        <v>93426440.400000006</v>
      </c>
      <c r="D108" s="53">
        <f>+D109+D111+D113</f>
        <v>0</v>
      </c>
    </row>
    <row r="109" spans="1:4" ht="12" customHeight="1">
      <c r="A109" s="54" t="s">
        <v>200</v>
      </c>
      <c r="B109" s="105" t="s">
        <v>3</v>
      </c>
      <c r="C109" s="453">
        <f>'7.1 Önkormányzat'!C109+'7.2 Óvoda'!C51</f>
        <v>29199500.109999999</v>
      </c>
      <c r="D109" s="66"/>
    </row>
    <row r="110" spans="1:4" ht="12" customHeight="1">
      <c r="A110" s="54" t="s">
        <v>202</v>
      </c>
      <c r="B110" s="115" t="s">
        <v>362</v>
      </c>
      <c r="C110" s="454"/>
      <c r="D110" s="66"/>
    </row>
    <row r="111" spans="1:4" ht="12" customHeight="1">
      <c r="A111" s="54" t="s">
        <v>204</v>
      </c>
      <c r="B111" s="115" t="s">
        <v>8</v>
      </c>
      <c r="C111" s="454">
        <f>Önkormányzat!AV118</f>
        <v>63476940.289999999</v>
      </c>
      <c r="D111" s="67"/>
    </row>
    <row r="112" spans="1:4" ht="12" customHeight="1">
      <c r="A112" s="54" t="s">
        <v>206</v>
      </c>
      <c r="B112" s="115" t="s">
        <v>363</v>
      </c>
      <c r="C112" s="454"/>
      <c r="D112" s="67"/>
    </row>
    <row r="113" spans="1:4" ht="12" customHeight="1">
      <c r="A113" s="54" t="s">
        <v>208</v>
      </c>
      <c r="B113" s="116" t="s">
        <v>364</v>
      </c>
      <c r="C113" s="454">
        <f>SUM(C114:C121)</f>
        <v>750000</v>
      </c>
      <c r="D113" s="67">
        <f>SUM(D114:D121)</f>
        <v>0</v>
      </c>
    </row>
    <row r="114" spans="1:4" ht="12" customHeight="1">
      <c r="A114" s="54" t="s">
        <v>210</v>
      </c>
      <c r="B114" s="117" t="s">
        <v>365</v>
      </c>
      <c r="C114" s="454"/>
      <c r="D114" s="67"/>
    </row>
    <row r="115" spans="1:4" ht="12" customHeight="1">
      <c r="A115" s="54" t="s">
        <v>366</v>
      </c>
      <c r="B115" s="118" t="s">
        <v>367</v>
      </c>
      <c r="C115" s="454"/>
      <c r="D115" s="67"/>
    </row>
    <row r="116" spans="1:4" ht="12" customHeight="1">
      <c r="A116" s="54" t="s">
        <v>368</v>
      </c>
      <c r="B116" s="109" t="s">
        <v>348</v>
      </c>
      <c r="C116" s="454"/>
      <c r="D116" s="67"/>
    </row>
    <row r="117" spans="1:4" ht="12" customHeight="1">
      <c r="A117" s="54" t="s">
        <v>369</v>
      </c>
      <c r="B117" s="109" t="s">
        <v>370</v>
      </c>
      <c r="C117" s="454"/>
      <c r="D117" s="67"/>
    </row>
    <row r="118" spans="1:4" ht="12" customHeight="1">
      <c r="A118" s="54" t="s">
        <v>371</v>
      </c>
      <c r="B118" s="109" t="s">
        <v>372</v>
      </c>
      <c r="C118" s="454"/>
      <c r="D118" s="67"/>
    </row>
    <row r="119" spans="1:4" ht="12" customHeight="1">
      <c r="A119" s="54" t="s">
        <v>373</v>
      </c>
      <c r="B119" s="109" t="s">
        <v>354</v>
      </c>
      <c r="C119" s="454"/>
      <c r="D119" s="67"/>
    </row>
    <row r="120" spans="1:4" ht="12" customHeight="1">
      <c r="A120" s="54" t="s">
        <v>374</v>
      </c>
      <c r="B120" s="109" t="s">
        <v>375</v>
      </c>
      <c r="C120" s="454">
        <f>'7.1 Önkormányzat'!C120</f>
        <v>750000</v>
      </c>
      <c r="D120" s="67"/>
    </row>
    <row r="121" spans="1:4" ht="12" customHeight="1" thickBot="1">
      <c r="A121" s="110" t="s">
        <v>376</v>
      </c>
      <c r="B121" s="109" t="s">
        <v>377</v>
      </c>
      <c r="C121" s="596"/>
      <c r="D121" s="68"/>
    </row>
    <row r="122" spans="1:4" ht="12" customHeight="1" thickBot="1">
      <c r="A122" s="50" t="s">
        <v>212</v>
      </c>
      <c r="B122" s="119" t="s">
        <v>378</v>
      </c>
      <c r="C122" s="52">
        <f>+C123+C124</f>
        <v>7762552</v>
      </c>
      <c r="D122" s="53">
        <f>+D123+D124</f>
        <v>0</v>
      </c>
    </row>
    <row r="123" spans="1:4" ht="12" customHeight="1">
      <c r="A123" s="54" t="s">
        <v>214</v>
      </c>
      <c r="B123" s="120" t="s">
        <v>379</v>
      </c>
      <c r="C123" s="455">
        <f>'7.1 Önkormányzat'!C123</f>
        <v>3690000</v>
      </c>
      <c r="D123" s="66"/>
    </row>
    <row r="124" spans="1:4" ht="12" customHeight="1" thickBot="1">
      <c r="A124" s="63" t="s">
        <v>216</v>
      </c>
      <c r="B124" s="115" t="s">
        <v>380</v>
      </c>
      <c r="C124" s="596">
        <f>'7.1 Önkormányzat'!C124</f>
        <v>4072552</v>
      </c>
      <c r="D124" s="68"/>
    </row>
    <row r="125" spans="1:4" ht="12" customHeight="1" thickBot="1">
      <c r="A125" s="50" t="s">
        <v>381</v>
      </c>
      <c r="B125" s="119" t="s">
        <v>382</v>
      </c>
      <c r="C125" s="52">
        <f>+C92+C108+C122</f>
        <v>247532018.05000001</v>
      </c>
      <c r="D125" s="53">
        <f>+D92+D108+D122</f>
        <v>0</v>
      </c>
    </row>
    <row r="126" spans="1:4" ht="12" customHeight="1" thickBot="1">
      <c r="A126" s="50" t="s">
        <v>233</v>
      </c>
      <c r="B126" s="119" t="s">
        <v>383</v>
      </c>
      <c r="C126" s="52">
        <f>+C127+C128+C129</f>
        <v>600000</v>
      </c>
      <c r="D126" s="53">
        <f>+D127+D128+D129</f>
        <v>0</v>
      </c>
    </row>
    <row r="127" spans="1:4" s="101" customFormat="1" ht="12" customHeight="1">
      <c r="A127" s="54" t="s">
        <v>235</v>
      </c>
      <c r="B127" s="120" t="s">
        <v>384</v>
      </c>
      <c r="C127" s="453">
        <f>'7.1 Önkormányzat'!C127</f>
        <v>600000</v>
      </c>
      <c r="D127" s="67"/>
    </row>
    <row r="128" spans="1:4" ht="12" customHeight="1">
      <c r="A128" s="54" t="s">
        <v>237</v>
      </c>
      <c r="B128" s="120" t="s">
        <v>385</v>
      </c>
      <c r="C128" s="454"/>
      <c r="D128" s="67"/>
    </row>
    <row r="129" spans="1:11" ht="12" customHeight="1" thickBot="1">
      <c r="A129" s="110" t="s">
        <v>239</v>
      </c>
      <c r="B129" s="121" t="s">
        <v>386</v>
      </c>
      <c r="C129" s="596"/>
      <c r="D129" s="67"/>
    </row>
    <row r="130" spans="1:11" ht="12" customHeight="1" thickBot="1">
      <c r="A130" s="50" t="s">
        <v>255</v>
      </c>
      <c r="B130" s="119" t="s">
        <v>387</v>
      </c>
      <c r="C130" s="52">
        <f>+C131+C132+C133+C134</f>
        <v>0</v>
      </c>
      <c r="D130" s="53">
        <f>+D131+D132+D133+D134</f>
        <v>0</v>
      </c>
    </row>
    <row r="131" spans="1:11" ht="12" customHeight="1">
      <c r="A131" s="54" t="s">
        <v>257</v>
      </c>
      <c r="B131" s="120" t="s">
        <v>388</v>
      </c>
      <c r="C131" s="454"/>
      <c r="D131" s="67"/>
    </row>
    <row r="132" spans="1:11" ht="12" customHeight="1">
      <c r="A132" s="54" t="s">
        <v>259</v>
      </c>
      <c r="B132" s="120" t="s">
        <v>389</v>
      </c>
      <c r="C132" s="454"/>
      <c r="D132" s="67"/>
    </row>
    <row r="133" spans="1:11" ht="12" customHeight="1">
      <c r="A133" s="54" t="s">
        <v>261</v>
      </c>
      <c r="B133" s="120" t="s">
        <v>390</v>
      </c>
      <c r="C133" s="454"/>
      <c r="D133" s="67"/>
    </row>
    <row r="134" spans="1:11" s="101" customFormat="1" ht="12" customHeight="1" thickBot="1">
      <c r="A134" s="110" t="s">
        <v>263</v>
      </c>
      <c r="B134" s="121" t="s">
        <v>391</v>
      </c>
      <c r="C134" s="454"/>
      <c r="D134" s="67"/>
    </row>
    <row r="135" spans="1:11" ht="12" customHeight="1" thickBot="1">
      <c r="A135" s="50" t="s">
        <v>392</v>
      </c>
      <c r="B135" s="119" t="s">
        <v>393</v>
      </c>
      <c r="C135" s="69">
        <f>+C136+C137+C138+C139</f>
        <v>3593651</v>
      </c>
      <c r="D135" s="70">
        <f>+D136+D137+D138+D139</f>
        <v>0</v>
      </c>
      <c r="K135" s="122"/>
    </row>
    <row r="136" spans="1:11">
      <c r="A136" s="54" t="s">
        <v>269</v>
      </c>
      <c r="B136" s="120" t="s">
        <v>394</v>
      </c>
      <c r="C136" s="456"/>
      <c r="D136" s="67"/>
    </row>
    <row r="137" spans="1:11" ht="12" customHeight="1">
      <c r="A137" s="54" t="s">
        <v>271</v>
      </c>
      <c r="B137" s="120" t="s">
        <v>395</v>
      </c>
      <c r="C137" s="454">
        <f>'7.1 Önkormányzat'!C137</f>
        <v>3593651</v>
      </c>
      <c r="D137" s="67"/>
    </row>
    <row r="138" spans="1:11" s="101" customFormat="1" ht="12" customHeight="1">
      <c r="A138" s="54" t="s">
        <v>273</v>
      </c>
      <c r="B138" s="120" t="s">
        <v>396</v>
      </c>
      <c r="C138" s="454"/>
      <c r="D138" s="67"/>
    </row>
    <row r="139" spans="1:11" s="101" customFormat="1" ht="12" customHeight="1" thickBot="1">
      <c r="A139" s="110" t="s">
        <v>275</v>
      </c>
      <c r="B139" s="121" t="s">
        <v>397</v>
      </c>
      <c r="C139" s="454"/>
      <c r="D139" s="67"/>
    </row>
    <row r="140" spans="1:11" s="101" customFormat="1" ht="12" customHeight="1" thickBot="1">
      <c r="A140" s="50" t="s">
        <v>277</v>
      </c>
      <c r="B140" s="119" t="s">
        <v>398</v>
      </c>
      <c r="C140" s="123">
        <f>+C141+C142+C143+C144</f>
        <v>0</v>
      </c>
      <c r="D140" s="124">
        <f>+D141+D142+D143+D144</f>
        <v>0</v>
      </c>
    </row>
    <row r="141" spans="1:11" s="101" customFormat="1" ht="12" customHeight="1">
      <c r="A141" s="54" t="s">
        <v>279</v>
      </c>
      <c r="B141" s="120" t="s">
        <v>399</v>
      </c>
      <c r="C141" s="454"/>
      <c r="D141" s="67"/>
    </row>
    <row r="142" spans="1:11" s="101" customFormat="1" ht="12" customHeight="1">
      <c r="A142" s="54" t="s">
        <v>281</v>
      </c>
      <c r="B142" s="120" t="s">
        <v>400</v>
      </c>
      <c r="C142" s="454"/>
      <c r="D142" s="67"/>
    </row>
    <row r="143" spans="1:11" s="101" customFormat="1" ht="12" customHeight="1">
      <c r="A143" s="54" t="s">
        <v>283</v>
      </c>
      <c r="B143" s="120" t="s">
        <v>401</v>
      </c>
      <c r="C143" s="454"/>
      <c r="D143" s="67"/>
    </row>
    <row r="144" spans="1:11" ht="12.75" customHeight="1" thickBot="1">
      <c r="A144" s="54" t="s">
        <v>285</v>
      </c>
      <c r="B144" s="120" t="s">
        <v>402</v>
      </c>
      <c r="C144" s="454"/>
      <c r="D144" s="67"/>
    </row>
    <row r="145" spans="1:5" ht="12" customHeight="1" thickBot="1">
      <c r="A145" s="50" t="s">
        <v>287</v>
      </c>
      <c r="B145" s="119" t="s">
        <v>403</v>
      </c>
      <c r="C145" s="125">
        <f>+C126+C130+C135+C140</f>
        <v>4193651</v>
      </c>
      <c r="D145" s="126">
        <f>+D126+D130+D135+D140</f>
        <v>0</v>
      </c>
    </row>
    <row r="146" spans="1:5" ht="15" customHeight="1" thickBot="1">
      <c r="A146" s="127" t="s">
        <v>404</v>
      </c>
      <c r="B146" s="128" t="s">
        <v>405</v>
      </c>
      <c r="C146" s="125">
        <f>+C125+C145</f>
        <v>251725669.05000001</v>
      </c>
      <c r="D146" s="126">
        <f>+D125+D145</f>
        <v>0</v>
      </c>
    </row>
    <row r="148" spans="1:5" s="130" customFormat="1" ht="15.75">
      <c r="A148" s="1807" t="s">
        <v>406</v>
      </c>
      <c r="B148" s="1807"/>
      <c r="C148" s="1807"/>
      <c r="D148" s="129"/>
      <c r="E148" s="129"/>
    </row>
    <row r="149" spans="1:5" s="130" customFormat="1" ht="15" customHeight="1" thickBot="1">
      <c r="A149" s="1808"/>
      <c r="B149" s="1808"/>
      <c r="C149" s="1809" t="s">
        <v>647</v>
      </c>
      <c r="D149" s="1809"/>
      <c r="E149" s="129"/>
    </row>
    <row r="150" spans="1:5" s="130" customFormat="1" ht="24.95" customHeight="1" thickBot="1">
      <c r="A150" s="131">
        <v>1</v>
      </c>
      <c r="B150" s="132" t="s">
        <v>407</v>
      </c>
      <c r="C150" s="133">
        <f>C64-C125</f>
        <v>-78701784.379999995</v>
      </c>
      <c r="D150" s="77">
        <f>D64-D125</f>
        <v>0</v>
      </c>
      <c r="E150" s="134">
        <f>+E63-E125</f>
        <v>0</v>
      </c>
    </row>
    <row r="151" spans="1:5" s="130" customFormat="1" ht="27.75" customHeight="1" thickBot="1">
      <c r="A151" s="131" t="s">
        <v>198</v>
      </c>
      <c r="B151" s="132" t="s">
        <v>408</v>
      </c>
      <c r="C151" s="133">
        <f>C87-C145</f>
        <v>78701784</v>
      </c>
      <c r="D151" s="77">
        <f>D87-D145</f>
        <v>0</v>
      </c>
      <c r="E151" s="134">
        <f>+E86-E145</f>
        <v>0</v>
      </c>
    </row>
    <row r="152" spans="1:5" ht="13.5" thickBot="1"/>
    <row r="153" spans="1:5" ht="25.15" customHeight="1">
      <c r="A153" s="1803" t="s">
        <v>654</v>
      </c>
      <c r="B153" s="1804"/>
      <c r="C153" s="1696">
        <f>'7.1 Önkormányzat'!C153+'7.2 Óvoda'!C57</f>
        <v>15</v>
      </c>
      <c r="D153" s="1016"/>
    </row>
    <row r="154" spans="1:5" ht="25.15" customHeight="1" thickBot="1">
      <c r="A154" s="1805" t="s">
        <v>655</v>
      </c>
      <c r="B154" s="1806"/>
      <c r="C154" s="1697">
        <f>'7.1 Önkormányzat'!C154+'7.2 Óvoda'!C58</f>
        <v>6</v>
      </c>
      <c r="D154" s="1018"/>
    </row>
  </sheetData>
  <sheetProtection selectLockedCells="1" selectUnlockedCells="1"/>
  <mergeCells count="11">
    <mergeCell ref="A153:B153"/>
    <mergeCell ref="A154:B154"/>
    <mergeCell ref="A148:C148"/>
    <mergeCell ref="A149:B149"/>
    <mergeCell ref="C149:D149"/>
    <mergeCell ref="A91:D91"/>
    <mergeCell ref="A1:D1"/>
    <mergeCell ref="C2:D2"/>
    <mergeCell ref="C3:D3"/>
    <mergeCell ref="C4:D4"/>
    <mergeCell ref="A7:D7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r:id="rId1"/>
  <headerFooter alignWithMargins="0"/>
  <rowBreaks count="2" manualBreakCount="2">
    <brk id="69" max="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K151"/>
  <sheetViews>
    <sheetView view="pageBreakPreview" zoomScaleNormal="100" zoomScaleSheetLayoutView="100" workbookViewId="0">
      <selection activeCell="C34" sqref="C34"/>
    </sheetView>
  </sheetViews>
  <sheetFormatPr defaultColWidth="9.140625" defaultRowHeight="12.75"/>
  <cols>
    <col min="1" max="1" width="16.7109375" style="135" customWidth="1"/>
    <col min="2" max="2" width="52.5703125" style="136" customWidth="1"/>
    <col min="3" max="3" width="11" style="137" customWidth="1"/>
    <col min="4" max="4" width="13.42578125" style="137" customWidth="1"/>
    <col min="5" max="16384" width="9.140625" style="44"/>
  </cols>
  <sheetData>
    <row r="1" spans="1:4" s="31" customFormat="1" ht="16.5" customHeight="1" thickBot="1">
      <c r="A1" s="1796" t="s">
        <v>813</v>
      </c>
      <c r="B1" s="1796"/>
      <c r="C1" s="1796"/>
      <c r="D1" s="1796"/>
    </row>
    <row r="2" spans="1:4" s="34" customFormat="1" ht="21" customHeight="1">
      <c r="A2" s="32" t="s">
        <v>176</v>
      </c>
      <c r="B2" s="33" t="s">
        <v>177</v>
      </c>
      <c r="C2" s="1797" t="s">
        <v>178</v>
      </c>
      <c r="D2" s="1798"/>
    </row>
    <row r="3" spans="1:4" s="34" customFormat="1" ht="16.5" thickBot="1">
      <c r="A3" s="35" t="s">
        <v>179</v>
      </c>
      <c r="B3" s="36" t="s">
        <v>612</v>
      </c>
      <c r="C3" s="1799">
        <v>1</v>
      </c>
      <c r="D3" s="1800"/>
    </row>
    <row r="4" spans="1:4" s="39" customFormat="1" ht="15.95" customHeight="1" thickBot="1">
      <c r="A4" s="37"/>
      <c r="B4" s="38"/>
      <c r="C4" s="1801" t="s">
        <v>644</v>
      </c>
      <c r="D4" s="1802"/>
    </row>
    <row r="5" spans="1:4" ht="36.75" thickBot="1">
      <c r="A5" s="1005" t="s">
        <v>181</v>
      </c>
      <c r="B5" s="41" t="s">
        <v>182</v>
      </c>
      <c r="C5" s="42" t="s">
        <v>771</v>
      </c>
      <c r="D5" s="43" t="s">
        <v>772</v>
      </c>
    </row>
    <row r="6" spans="1:4" s="49" customFormat="1" ht="12.95" customHeight="1" thickBot="1">
      <c r="A6" s="45">
        <v>1</v>
      </c>
      <c r="B6" s="46">
        <v>2</v>
      </c>
      <c r="C6" s="47">
        <v>3</v>
      </c>
      <c r="D6" s="48">
        <v>4</v>
      </c>
    </row>
    <row r="7" spans="1:4" s="49" customFormat="1" ht="15.95" customHeight="1" thickBot="1">
      <c r="A7" s="1793" t="s">
        <v>183</v>
      </c>
      <c r="B7" s="1794"/>
      <c r="C7" s="1794"/>
      <c r="D7" s="1795"/>
    </row>
    <row r="8" spans="1:4" s="49" customFormat="1" ht="12" customHeight="1" thickBot="1">
      <c r="A8" s="50" t="s">
        <v>184</v>
      </c>
      <c r="B8" s="51" t="s">
        <v>185</v>
      </c>
      <c r="C8" s="52">
        <f>+C9+C10+C11+C12+C13+C14</f>
        <v>89841283</v>
      </c>
      <c r="D8" s="53">
        <f>+D9+D10+D11+D12+D13+D14</f>
        <v>0</v>
      </c>
    </row>
    <row r="9" spans="1:4" s="58" customFormat="1" ht="12" customHeight="1">
      <c r="A9" s="54" t="s">
        <v>186</v>
      </c>
      <c r="B9" s="55" t="s">
        <v>187</v>
      </c>
      <c r="C9" s="56">
        <f>'1.1 Összesítő'!C9</f>
        <v>36492592</v>
      </c>
      <c r="D9" s="57"/>
    </row>
    <row r="10" spans="1:4" s="62" customFormat="1" ht="12" customHeight="1">
      <c r="A10" s="59" t="s">
        <v>188</v>
      </c>
      <c r="B10" s="60" t="s">
        <v>189</v>
      </c>
      <c r="C10" s="56">
        <f>'1.1 Összesítő'!C10</f>
        <v>26837550</v>
      </c>
      <c r="D10" s="61"/>
    </row>
    <row r="11" spans="1:4" s="62" customFormat="1" ht="12" customHeight="1">
      <c r="A11" s="59" t="s">
        <v>190</v>
      </c>
      <c r="B11" s="60" t="s">
        <v>191</v>
      </c>
      <c r="C11" s="56">
        <f>'1.1 Összesítő'!C11</f>
        <v>24620880</v>
      </c>
      <c r="D11" s="61"/>
    </row>
    <row r="12" spans="1:4" s="62" customFormat="1" ht="12" customHeight="1">
      <c r="A12" s="59" t="s">
        <v>192</v>
      </c>
      <c r="B12" s="60" t="s">
        <v>193</v>
      </c>
      <c r="C12" s="56">
        <f>'1.1 Összesítő'!C12</f>
        <v>1890261</v>
      </c>
      <c r="D12" s="61"/>
    </row>
    <row r="13" spans="1:4" s="62" customFormat="1" ht="12" customHeight="1">
      <c r="A13" s="59" t="s">
        <v>194</v>
      </c>
      <c r="B13" s="60" t="s">
        <v>195</v>
      </c>
      <c r="C13" s="56">
        <f>'1.1 Összesítő'!C13</f>
        <v>0</v>
      </c>
      <c r="D13" s="61"/>
    </row>
    <row r="14" spans="1:4" s="58" customFormat="1" ht="12" customHeight="1" thickBot="1">
      <c r="A14" s="63" t="s">
        <v>196</v>
      </c>
      <c r="B14" s="64" t="s">
        <v>197</v>
      </c>
      <c r="C14" s="56">
        <f>'1.1 Összesítő'!C14</f>
        <v>0</v>
      </c>
      <c r="D14" s="61"/>
    </row>
    <row r="15" spans="1:4" s="58" customFormat="1" ht="23.25" customHeight="1" thickBot="1">
      <c r="A15" s="50" t="s">
        <v>198</v>
      </c>
      <c r="B15" s="65" t="s">
        <v>199</v>
      </c>
      <c r="C15" s="52">
        <f>+C16+C17+C18+C19+C20</f>
        <v>25243825.150000002</v>
      </c>
      <c r="D15" s="53">
        <f>+D16+D17+D18+D19+D20</f>
        <v>0</v>
      </c>
    </row>
    <row r="16" spans="1:4" s="58" customFormat="1" ht="12" customHeight="1">
      <c r="A16" s="54" t="s">
        <v>200</v>
      </c>
      <c r="B16" s="55" t="s">
        <v>201</v>
      </c>
      <c r="C16" s="56">
        <f>'1.1 Összesítő'!C16</f>
        <v>0</v>
      </c>
      <c r="D16" s="66"/>
    </row>
    <row r="17" spans="1:4" s="58" customFormat="1" ht="12" customHeight="1">
      <c r="A17" s="59" t="s">
        <v>202</v>
      </c>
      <c r="B17" s="60" t="s">
        <v>203</v>
      </c>
      <c r="C17" s="56">
        <f>'1.1 Összesítő'!C17</f>
        <v>0</v>
      </c>
      <c r="D17" s="67"/>
    </row>
    <row r="18" spans="1:4" s="58" customFormat="1" ht="12" customHeight="1">
      <c r="A18" s="59" t="s">
        <v>204</v>
      </c>
      <c r="B18" s="60" t="s">
        <v>205</v>
      </c>
      <c r="C18" s="56">
        <f>'1.1 Összesítő'!C18</f>
        <v>0</v>
      </c>
      <c r="D18" s="67"/>
    </row>
    <row r="19" spans="1:4" s="58" customFormat="1" ht="12" customHeight="1">
      <c r="A19" s="59" t="s">
        <v>206</v>
      </c>
      <c r="B19" s="60" t="s">
        <v>207</v>
      </c>
      <c r="C19" s="56">
        <f>'1.1 Összesítő'!C19</f>
        <v>0</v>
      </c>
      <c r="D19" s="67"/>
    </row>
    <row r="20" spans="1:4" s="58" customFormat="1" ht="12" customHeight="1">
      <c r="A20" s="59" t="s">
        <v>208</v>
      </c>
      <c r="B20" s="60" t="s">
        <v>209</v>
      </c>
      <c r="C20" s="56">
        <f>'1.1 Összesítő'!C20</f>
        <v>25243825.150000002</v>
      </c>
      <c r="D20" s="61"/>
    </row>
    <row r="21" spans="1:4" s="62" customFormat="1" ht="12" customHeight="1" thickBot="1">
      <c r="A21" s="63" t="s">
        <v>210</v>
      </c>
      <c r="B21" s="64" t="s">
        <v>211</v>
      </c>
      <c r="C21" s="56">
        <f>'1.1 Összesítő'!C21</f>
        <v>0</v>
      </c>
      <c r="D21" s="68"/>
    </row>
    <row r="22" spans="1:4" s="62" customFormat="1" ht="22.5" customHeight="1" thickBot="1">
      <c r="A22" s="50" t="s">
        <v>212</v>
      </c>
      <c r="B22" s="51" t="s">
        <v>213</v>
      </c>
      <c r="C22" s="52">
        <f>+C23+C24+C25+C26+C27</f>
        <v>6181639</v>
      </c>
      <c r="D22" s="53">
        <f>+D23+D24+D25+D26+D27</f>
        <v>0</v>
      </c>
    </row>
    <row r="23" spans="1:4" s="62" customFormat="1" ht="12" customHeight="1">
      <c r="A23" s="54" t="s">
        <v>214</v>
      </c>
      <c r="B23" s="55" t="s">
        <v>215</v>
      </c>
      <c r="C23" s="56">
        <f>'1.1 Összesítő'!C23</f>
        <v>0</v>
      </c>
      <c r="D23" s="66"/>
    </row>
    <row r="24" spans="1:4" s="58" customFormat="1" ht="12" customHeight="1">
      <c r="A24" s="59" t="s">
        <v>216</v>
      </c>
      <c r="B24" s="60" t="s">
        <v>217</v>
      </c>
      <c r="C24" s="56">
        <f>'1.1 Összesítő'!C24</f>
        <v>0</v>
      </c>
      <c r="D24" s="67"/>
    </row>
    <row r="25" spans="1:4" s="62" customFormat="1" ht="12" customHeight="1">
      <c r="A25" s="59" t="s">
        <v>218</v>
      </c>
      <c r="B25" s="60" t="s">
        <v>219</v>
      </c>
      <c r="C25" s="56">
        <f>'1.1 Összesítő'!C25</f>
        <v>0</v>
      </c>
      <c r="D25" s="67"/>
    </row>
    <row r="26" spans="1:4" s="62" customFormat="1" ht="12" customHeight="1">
      <c r="A26" s="59" t="s">
        <v>220</v>
      </c>
      <c r="B26" s="60" t="s">
        <v>221</v>
      </c>
      <c r="C26" s="56">
        <f>'1.1 Összesítő'!C26</f>
        <v>0</v>
      </c>
      <c r="D26" s="67"/>
    </row>
    <row r="27" spans="1:4" s="62" customFormat="1" ht="12" customHeight="1">
      <c r="A27" s="59" t="s">
        <v>222</v>
      </c>
      <c r="B27" s="60" t="s">
        <v>223</v>
      </c>
      <c r="C27" s="56">
        <f>'1.1 Összesítő'!C27</f>
        <v>6181639</v>
      </c>
      <c r="D27" s="61"/>
    </row>
    <row r="28" spans="1:4" s="62" customFormat="1" ht="12" customHeight="1" thickBot="1">
      <c r="A28" s="63" t="s">
        <v>224</v>
      </c>
      <c r="B28" s="64" t="s">
        <v>225</v>
      </c>
      <c r="C28" s="56">
        <f>'1.1 Összesítő'!C28</f>
        <v>0</v>
      </c>
      <c r="D28" s="68"/>
    </row>
    <row r="29" spans="1:4" s="62" customFormat="1" ht="12" customHeight="1" thickBot="1">
      <c r="A29" s="50" t="s">
        <v>226</v>
      </c>
      <c r="B29" s="51" t="s">
        <v>227</v>
      </c>
      <c r="C29" s="69">
        <f>+C30+C36</f>
        <v>16238000</v>
      </c>
      <c r="D29" s="70">
        <f>+D30+D34+D35+D36</f>
        <v>0</v>
      </c>
    </row>
    <row r="30" spans="1:4" s="62" customFormat="1" ht="12" customHeight="1">
      <c r="A30" s="54" t="s">
        <v>228</v>
      </c>
      <c r="B30" s="55" t="s">
        <v>552</v>
      </c>
      <c r="C30" s="71">
        <f>SUM(C31:C35)</f>
        <v>16108000</v>
      </c>
      <c r="D30" s="72"/>
    </row>
    <row r="31" spans="1:4" s="62" customFormat="1" ht="12" customHeight="1">
      <c r="A31" s="59" t="s">
        <v>229</v>
      </c>
      <c r="B31" s="452" t="s">
        <v>599</v>
      </c>
      <c r="C31" s="56">
        <f>'1.1 Összesítő'!C31</f>
        <v>0</v>
      </c>
      <c r="D31" s="72"/>
    </row>
    <row r="32" spans="1:4" s="62" customFormat="1" ht="12" customHeight="1">
      <c r="A32" s="59" t="s">
        <v>231</v>
      </c>
      <c r="B32" s="60" t="s">
        <v>230</v>
      </c>
      <c r="C32" s="56">
        <f>'1.1 Összesítő'!C32</f>
        <v>3700000</v>
      </c>
      <c r="D32" s="61"/>
    </row>
    <row r="33" spans="1:4" s="62" customFormat="1" ht="12" customHeight="1">
      <c r="A33" s="59" t="s">
        <v>549</v>
      </c>
      <c r="B33" s="452" t="s">
        <v>550</v>
      </c>
      <c r="C33" s="56">
        <f>'1.1 Összesítő'!C33-2592000</f>
        <v>7908000</v>
      </c>
      <c r="D33" s="61"/>
    </row>
    <row r="34" spans="1:4" s="62" customFormat="1" ht="12" customHeight="1">
      <c r="A34" s="59" t="s">
        <v>551</v>
      </c>
      <c r="B34" s="452" t="s">
        <v>548</v>
      </c>
      <c r="C34" s="56">
        <f>'1.1 Összesítő'!C34</f>
        <v>4500000</v>
      </c>
      <c r="D34" s="61"/>
    </row>
    <row r="35" spans="1:4" s="62" customFormat="1" ht="12" customHeight="1">
      <c r="A35" s="59" t="s">
        <v>597</v>
      </c>
      <c r="B35" s="452" t="s">
        <v>598</v>
      </c>
      <c r="C35" s="56">
        <f>'1.1 Összesítő'!C35</f>
        <v>0</v>
      </c>
      <c r="D35" s="61"/>
    </row>
    <row r="36" spans="1:4" s="62" customFormat="1" ht="12" customHeight="1" thickBot="1">
      <c r="A36" s="63" t="s">
        <v>232</v>
      </c>
      <c r="B36" s="64" t="s">
        <v>6</v>
      </c>
      <c r="C36" s="56">
        <f>'1.1 Összesítő'!C36</f>
        <v>130000</v>
      </c>
      <c r="D36" s="73"/>
    </row>
    <row r="37" spans="1:4" s="62" customFormat="1" ht="12" customHeight="1" thickBot="1">
      <c r="A37" s="50" t="s">
        <v>233</v>
      </c>
      <c r="B37" s="51" t="s">
        <v>234</v>
      </c>
      <c r="C37" s="52">
        <f>SUM(C38:C47)</f>
        <v>19133486.52</v>
      </c>
      <c r="D37" s="53">
        <f>SUM(D38:D47)</f>
        <v>0</v>
      </c>
    </row>
    <row r="38" spans="1:4" s="62" customFormat="1" ht="12" customHeight="1">
      <c r="A38" s="54" t="s">
        <v>235</v>
      </c>
      <c r="B38" s="55" t="s">
        <v>236</v>
      </c>
      <c r="C38" s="56">
        <f>'1.1 Összesítő'!C38</f>
        <v>0</v>
      </c>
      <c r="D38" s="67"/>
    </row>
    <row r="39" spans="1:4" s="62" customFormat="1" ht="12" customHeight="1">
      <c r="A39" s="59" t="s">
        <v>237</v>
      </c>
      <c r="B39" s="60" t="s">
        <v>238</v>
      </c>
      <c r="C39" s="56">
        <f>'1.1 Összesítő'!C39</f>
        <v>9025760</v>
      </c>
      <c r="D39" s="67"/>
    </row>
    <row r="40" spans="1:4" s="62" customFormat="1" ht="12" customHeight="1">
      <c r="A40" s="59" t="s">
        <v>239</v>
      </c>
      <c r="B40" s="60" t="s">
        <v>240</v>
      </c>
      <c r="C40" s="56">
        <f>'1.1 Összesítő'!C40</f>
        <v>228000</v>
      </c>
      <c r="D40" s="67"/>
    </row>
    <row r="41" spans="1:4" s="62" customFormat="1" ht="12" customHeight="1">
      <c r="A41" s="59" t="s">
        <v>241</v>
      </c>
      <c r="B41" s="60" t="s">
        <v>242</v>
      </c>
      <c r="C41" s="56">
        <f>'1.1 Összesítő'!C41</f>
        <v>300000</v>
      </c>
      <c r="D41" s="67"/>
    </row>
    <row r="42" spans="1:4" s="62" customFormat="1" ht="12" customHeight="1">
      <c r="A42" s="59" t="s">
        <v>243</v>
      </c>
      <c r="B42" s="60" t="s">
        <v>244</v>
      </c>
      <c r="C42" s="56">
        <f>'1.1 Összesítő'!C42</f>
        <v>1100000</v>
      </c>
      <c r="D42" s="67"/>
    </row>
    <row r="43" spans="1:4" s="62" customFormat="1" ht="12" customHeight="1">
      <c r="A43" s="59" t="s">
        <v>245</v>
      </c>
      <c r="B43" s="60" t="s">
        <v>246</v>
      </c>
      <c r="C43" s="56">
        <f>'1.1 Összesítő'!C43</f>
        <v>4991932.8</v>
      </c>
      <c r="D43" s="67"/>
    </row>
    <row r="44" spans="1:4" s="62" customFormat="1" ht="12" customHeight="1">
      <c r="A44" s="59" t="s">
        <v>247</v>
      </c>
      <c r="B44" s="60" t="s">
        <v>248</v>
      </c>
      <c r="C44" s="56">
        <f>'1.1 Összesítő'!C44</f>
        <v>3382293.72</v>
      </c>
      <c r="D44" s="67"/>
    </row>
    <row r="45" spans="1:4" s="62" customFormat="1" ht="12" customHeight="1">
      <c r="A45" s="59" t="s">
        <v>249</v>
      </c>
      <c r="B45" s="60" t="s">
        <v>250</v>
      </c>
      <c r="C45" s="56">
        <f>'1.1 Összesítő'!C45</f>
        <v>105000</v>
      </c>
      <c r="D45" s="67"/>
    </row>
    <row r="46" spans="1:4" s="62" customFormat="1" ht="12" customHeight="1">
      <c r="A46" s="59" t="s">
        <v>251</v>
      </c>
      <c r="B46" s="60" t="s">
        <v>252</v>
      </c>
      <c r="C46" s="56">
        <f>'1.1 Összesítő'!C46</f>
        <v>0</v>
      </c>
      <c r="D46" s="74"/>
    </row>
    <row r="47" spans="1:4" s="62" customFormat="1" ht="12" customHeight="1" thickBot="1">
      <c r="A47" s="63" t="s">
        <v>253</v>
      </c>
      <c r="B47" s="64" t="s">
        <v>254</v>
      </c>
      <c r="C47" s="56">
        <f>'1.1 Összesítő'!C47</f>
        <v>500</v>
      </c>
      <c r="D47" s="75"/>
    </row>
    <row r="48" spans="1:4" s="62" customFormat="1" ht="12" customHeight="1" thickBot="1">
      <c r="A48" s="50" t="s">
        <v>255</v>
      </c>
      <c r="B48" s="51" t="s">
        <v>256</v>
      </c>
      <c r="C48" s="52">
        <f>SUM(C49:C53)</f>
        <v>9300000</v>
      </c>
      <c r="D48" s="53">
        <f>SUM(D49:D53)</f>
        <v>0</v>
      </c>
    </row>
    <row r="49" spans="1:4" s="62" customFormat="1" ht="12" customHeight="1">
      <c r="A49" s="54" t="s">
        <v>257</v>
      </c>
      <c r="B49" s="55" t="s">
        <v>258</v>
      </c>
      <c r="C49" s="56">
        <f>'1.1 Összesítő'!C49</f>
        <v>0</v>
      </c>
      <c r="D49" s="76"/>
    </row>
    <row r="50" spans="1:4" s="62" customFormat="1" ht="12" customHeight="1">
      <c r="A50" s="59" t="s">
        <v>259</v>
      </c>
      <c r="B50" s="60" t="s">
        <v>260</v>
      </c>
      <c r="C50" s="56">
        <f>'1.1 Összesítő'!C50</f>
        <v>9300000</v>
      </c>
      <c r="D50" s="74"/>
    </row>
    <row r="51" spans="1:4" s="62" customFormat="1" ht="12" customHeight="1">
      <c r="A51" s="59" t="s">
        <v>261</v>
      </c>
      <c r="B51" s="60" t="s">
        <v>262</v>
      </c>
      <c r="C51" s="56">
        <f>'1.1 Összesítő'!C51</f>
        <v>0</v>
      </c>
      <c r="D51" s="74"/>
    </row>
    <row r="52" spans="1:4" s="62" customFormat="1" ht="12" customHeight="1">
      <c r="A52" s="59" t="s">
        <v>263</v>
      </c>
      <c r="B52" s="60" t="s">
        <v>264</v>
      </c>
      <c r="C52" s="56">
        <f>'1.1 Összesítő'!C52</f>
        <v>0</v>
      </c>
      <c r="D52" s="74"/>
    </row>
    <row r="53" spans="1:4" s="62" customFormat="1" ht="12" customHeight="1" thickBot="1">
      <c r="A53" s="63" t="s">
        <v>265</v>
      </c>
      <c r="B53" s="64" t="s">
        <v>266</v>
      </c>
      <c r="C53" s="56">
        <f>'1.1 Összesítő'!C53</f>
        <v>0</v>
      </c>
      <c r="D53" s="75"/>
    </row>
    <row r="54" spans="1:4" s="62" customFormat="1" ht="12" customHeight="1" thickBot="1">
      <c r="A54" s="50" t="s">
        <v>267</v>
      </c>
      <c r="B54" s="51" t="s">
        <v>268</v>
      </c>
      <c r="C54" s="52">
        <f>SUM(C55:C57)</f>
        <v>300000</v>
      </c>
      <c r="D54" s="53">
        <f>SUM(D55:D57)</f>
        <v>0</v>
      </c>
    </row>
    <row r="55" spans="1:4" s="62" customFormat="1" ht="12" customHeight="1">
      <c r="A55" s="54" t="s">
        <v>269</v>
      </c>
      <c r="B55" s="55" t="s">
        <v>270</v>
      </c>
      <c r="C55" s="56">
        <f>'1.1 Összesítő'!C55</f>
        <v>0</v>
      </c>
      <c r="D55" s="66"/>
    </row>
    <row r="56" spans="1:4" s="62" customFormat="1" ht="12" customHeight="1">
      <c r="A56" s="59" t="s">
        <v>271</v>
      </c>
      <c r="B56" s="60" t="s">
        <v>272</v>
      </c>
      <c r="C56" s="56">
        <f>'1.1 Összesítő'!C56</f>
        <v>0</v>
      </c>
      <c r="D56" s="67"/>
    </row>
    <row r="57" spans="1:4" s="62" customFormat="1" ht="12" customHeight="1">
      <c r="A57" s="59" t="s">
        <v>273</v>
      </c>
      <c r="B57" s="60" t="s">
        <v>274</v>
      </c>
      <c r="C57" s="56">
        <f>'1.1 Összesítő'!C57</f>
        <v>300000</v>
      </c>
      <c r="D57" s="61"/>
    </row>
    <row r="58" spans="1:4" s="62" customFormat="1" ht="12" customHeight="1" thickBot="1">
      <c r="A58" s="63" t="s">
        <v>275</v>
      </c>
      <c r="B58" s="64" t="s">
        <v>276</v>
      </c>
      <c r="C58" s="56">
        <f>'1.1 Összesítő'!C58</f>
        <v>0</v>
      </c>
      <c r="D58" s="73"/>
    </row>
    <row r="59" spans="1:4" s="62" customFormat="1" ht="12" customHeight="1" thickBot="1">
      <c r="A59" s="50" t="s">
        <v>277</v>
      </c>
      <c r="B59" s="65" t="s">
        <v>278</v>
      </c>
      <c r="C59" s="52">
        <f>SUM(C60:C62)</f>
        <v>0</v>
      </c>
      <c r="D59" s="77">
        <f>SUM(D60:D62)</f>
        <v>0</v>
      </c>
    </row>
    <row r="60" spans="1:4" s="62" customFormat="1" ht="12" customHeight="1">
      <c r="A60" s="54" t="s">
        <v>279</v>
      </c>
      <c r="B60" s="55" t="s">
        <v>280</v>
      </c>
      <c r="C60" s="56">
        <f>'1.1 Összesítő'!C60</f>
        <v>0</v>
      </c>
      <c r="D60" s="61"/>
    </row>
    <row r="61" spans="1:4" s="62" customFormat="1" ht="12" customHeight="1">
      <c r="A61" s="59" t="s">
        <v>281</v>
      </c>
      <c r="B61" s="60" t="s">
        <v>282</v>
      </c>
      <c r="C61" s="56">
        <f>'1.1 Összesítő'!C61</f>
        <v>0</v>
      </c>
      <c r="D61" s="67"/>
    </row>
    <row r="62" spans="1:4" s="62" customFormat="1" ht="12" customHeight="1">
      <c r="A62" s="59" t="s">
        <v>283</v>
      </c>
      <c r="B62" s="60" t="s">
        <v>284</v>
      </c>
      <c r="C62" s="56">
        <f>'1.1 Összesítő'!C62</f>
        <v>0</v>
      </c>
      <c r="D62" s="67"/>
    </row>
    <row r="63" spans="1:4" s="62" customFormat="1" ht="12" customHeight="1" thickBot="1">
      <c r="A63" s="63" t="s">
        <v>285</v>
      </c>
      <c r="B63" s="64" t="s">
        <v>286</v>
      </c>
      <c r="C63" s="56">
        <f>'1.1 Összesítő'!C63</f>
        <v>0</v>
      </c>
      <c r="D63" s="74"/>
    </row>
    <row r="64" spans="1:4" s="62" customFormat="1" ht="12" customHeight="1" thickBot="1">
      <c r="A64" s="50" t="s">
        <v>287</v>
      </c>
      <c r="B64" s="51" t="s">
        <v>288</v>
      </c>
      <c r="C64" s="69">
        <f>+C8+C15+C22+C29+C37+C48+C54+C59</f>
        <v>166238233.67000002</v>
      </c>
      <c r="D64" s="70">
        <f>+D8+D15+D22+D29+D37+D48+D54+D59</f>
        <v>0</v>
      </c>
    </row>
    <row r="65" spans="1:4" s="62" customFormat="1" ht="12" customHeight="1" thickBot="1">
      <c r="A65" s="78" t="s">
        <v>289</v>
      </c>
      <c r="B65" s="65" t="s">
        <v>290</v>
      </c>
      <c r="C65" s="52">
        <f>SUM(C66:C68)</f>
        <v>0</v>
      </c>
      <c r="D65" s="53">
        <f>SUM(D66:D68)</f>
        <v>0</v>
      </c>
    </row>
    <row r="66" spans="1:4" s="62" customFormat="1" ht="12" customHeight="1">
      <c r="A66" s="54" t="s">
        <v>291</v>
      </c>
      <c r="B66" s="55" t="s">
        <v>292</v>
      </c>
      <c r="C66" s="56">
        <f>'1.1 Összesítő'!C66</f>
        <v>0</v>
      </c>
      <c r="D66" s="74"/>
    </row>
    <row r="67" spans="1:4" s="62" customFormat="1" ht="12" customHeight="1">
      <c r="A67" s="59" t="s">
        <v>293</v>
      </c>
      <c r="B67" s="60" t="s">
        <v>294</v>
      </c>
      <c r="C67" s="56">
        <f>'1.1 Összesítő'!C67</f>
        <v>0</v>
      </c>
      <c r="D67" s="74"/>
    </row>
    <row r="68" spans="1:4" s="62" customFormat="1" ht="12" customHeight="1" thickBot="1">
      <c r="A68" s="63" t="s">
        <v>295</v>
      </c>
      <c r="B68" s="79" t="s">
        <v>296</v>
      </c>
      <c r="C68" s="56">
        <f>'1.1 Összesítő'!C68</f>
        <v>0</v>
      </c>
      <c r="D68" s="74"/>
    </row>
    <row r="69" spans="1:4" s="62" customFormat="1" ht="12" customHeight="1" thickBot="1">
      <c r="A69" s="78" t="s">
        <v>297</v>
      </c>
      <c r="B69" s="65" t="s">
        <v>298</v>
      </c>
      <c r="C69" s="52">
        <f>SUM(C70:C73)</f>
        <v>0</v>
      </c>
      <c r="D69" s="53">
        <f>SUM(D70:D73)</f>
        <v>0</v>
      </c>
    </row>
    <row r="70" spans="1:4" s="62" customFormat="1" ht="12" customHeight="1">
      <c r="A70" s="54" t="s">
        <v>299</v>
      </c>
      <c r="B70" s="55" t="s">
        <v>300</v>
      </c>
      <c r="C70" s="56">
        <f>'1.1 Összesítő'!C70</f>
        <v>0</v>
      </c>
      <c r="D70" s="74"/>
    </row>
    <row r="71" spans="1:4" s="62" customFormat="1" ht="12" customHeight="1">
      <c r="A71" s="59" t="s">
        <v>301</v>
      </c>
      <c r="B71" s="60" t="s">
        <v>302</v>
      </c>
      <c r="C71" s="56">
        <f>'1.1 Összesítő'!C71</f>
        <v>0</v>
      </c>
      <c r="D71" s="74"/>
    </row>
    <row r="72" spans="1:4" s="62" customFormat="1" ht="12" customHeight="1">
      <c r="A72" s="59" t="s">
        <v>303</v>
      </c>
      <c r="B72" s="60" t="s">
        <v>304</v>
      </c>
      <c r="C72" s="56">
        <f>'1.1 Összesítő'!C72</f>
        <v>0</v>
      </c>
      <c r="D72" s="74"/>
    </row>
    <row r="73" spans="1:4" s="62" customFormat="1" ht="12" customHeight="1" thickBot="1">
      <c r="A73" s="80" t="s">
        <v>305</v>
      </c>
      <c r="B73" s="81" t="s">
        <v>306</v>
      </c>
      <c r="C73" s="56">
        <f>'1.1 Összesítő'!C73</f>
        <v>0</v>
      </c>
      <c r="D73" s="82"/>
    </row>
    <row r="74" spans="1:4" s="62" customFormat="1" ht="12" customHeight="1" thickBot="1">
      <c r="A74" s="78" t="s">
        <v>307</v>
      </c>
      <c r="B74" s="65" t="s">
        <v>308</v>
      </c>
      <c r="C74" s="52">
        <f>SUM(C75:C76)</f>
        <v>82895435</v>
      </c>
      <c r="D74" s="53">
        <f>SUM(D75:D76)</f>
        <v>0</v>
      </c>
    </row>
    <row r="75" spans="1:4" s="62" customFormat="1" ht="12" customHeight="1">
      <c r="A75" s="54" t="s">
        <v>309</v>
      </c>
      <c r="B75" s="55" t="s">
        <v>310</v>
      </c>
      <c r="C75" s="56">
        <f>'1.1 Összesítő'!C75</f>
        <v>82895435</v>
      </c>
      <c r="D75" s="74"/>
    </row>
    <row r="76" spans="1:4" s="62" customFormat="1" ht="12" customHeight="1" thickBot="1">
      <c r="A76" s="63" t="s">
        <v>311</v>
      </c>
      <c r="B76" s="64" t="s">
        <v>312</v>
      </c>
      <c r="C76" s="56">
        <f>'1.1 Összesítő'!C76</f>
        <v>0</v>
      </c>
      <c r="D76" s="74"/>
    </row>
    <row r="77" spans="1:4" s="58" customFormat="1" ht="12" customHeight="1" thickBot="1">
      <c r="A77" s="78" t="s">
        <v>313</v>
      </c>
      <c r="B77" s="65" t="s">
        <v>314</v>
      </c>
      <c r="C77" s="52">
        <f>SUM(C78:C80)</f>
        <v>0</v>
      </c>
      <c r="D77" s="53">
        <f>SUM(D78:D80)</f>
        <v>0</v>
      </c>
    </row>
    <row r="78" spans="1:4" s="62" customFormat="1" ht="12" customHeight="1">
      <c r="A78" s="54" t="s">
        <v>315</v>
      </c>
      <c r="B78" s="55" t="s">
        <v>316</v>
      </c>
      <c r="C78" s="56">
        <f>'1.1 Összesítő'!C78</f>
        <v>0</v>
      </c>
      <c r="D78" s="74"/>
    </row>
    <row r="79" spans="1:4" s="62" customFormat="1" ht="12" customHeight="1">
      <c r="A79" s="59" t="s">
        <v>317</v>
      </c>
      <c r="B79" s="60" t="s">
        <v>318</v>
      </c>
      <c r="C79" s="56">
        <f>'1.1 Összesítő'!C79</f>
        <v>0</v>
      </c>
      <c r="D79" s="74"/>
    </row>
    <row r="80" spans="1:4" s="62" customFormat="1" ht="12" customHeight="1" thickBot="1">
      <c r="A80" s="63" t="s">
        <v>319</v>
      </c>
      <c r="B80" s="64" t="s">
        <v>320</v>
      </c>
      <c r="C80" s="56">
        <f>'1.1 Összesítő'!C80</f>
        <v>0</v>
      </c>
      <c r="D80" s="74"/>
    </row>
    <row r="81" spans="1:4" s="62" customFormat="1" ht="12" customHeight="1" thickBot="1">
      <c r="A81" s="78" t="s">
        <v>321</v>
      </c>
      <c r="B81" s="65" t="s">
        <v>322</v>
      </c>
      <c r="C81" s="52">
        <f>SUM(C82:C85)</f>
        <v>0</v>
      </c>
      <c r="D81" s="53">
        <f>SUM(D82:D85)</f>
        <v>0</v>
      </c>
    </row>
    <row r="82" spans="1:4" s="62" customFormat="1" ht="12" customHeight="1">
      <c r="A82" s="83" t="s">
        <v>323</v>
      </c>
      <c r="B82" s="55" t="s">
        <v>324</v>
      </c>
      <c r="C82" s="56">
        <f>'1.1 Összesítő'!C82</f>
        <v>0</v>
      </c>
      <c r="D82" s="74"/>
    </row>
    <row r="83" spans="1:4" s="62" customFormat="1" ht="12" customHeight="1">
      <c r="A83" s="84" t="s">
        <v>325</v>
      </c>
      <c r="B83" s="60" t="s">
        <v>326</v>
      </c>
      <c r="C83" s="56">
        <f>'1.1 Összesítő'!C83</f>
        <v>0</v>
      </c>
      <c r="D83" s="74"/>
    </row>
    <row r="84" spans="1:4" s="62" customFormat="1" ht="12" customHeight="1">
      <c r="A84" s="84" t="s">
        <v>327</v>
      </c>
      <c r="B84" s="60" t="s">
        <v>328</v>
      </c>
      <c r="C84" s="56">
        <f>'1.1 Összesítő'!C84</f>
        <v>0</v>
      </c>
      <c r="D84" s="74"/>
    </row>
    <row r="85" spans="1:4" s="58" customFormat="1" ht="12" customHeight="1" thickBot="1">
      <c r="A85" s="85" t="s">
        <v>329</v>
      </c>
      <c r="B85" s="64" t="s">
        <v>330</v>
      </c>
      <c r="C85" s="56">
        <f>'1.1 Összesítő'!C85</f>
        <v>0</v>
      </c>
      <c r="D85" s="74"/>
    </row>
    <row r="86" spans="1:4" s="58" customFormat="1" ht="12" customHeight="1" thickBot="1">
      <c r="A86" s="78" t="s">
        <v>331</v>
      </c>
      <c r="B86" s="65" t="s">
        <v>332</v>
      </c>
      <c r="C86" s="86"/>
      <c r="D86" s="87"/>
    </row>
    <row r="87" spans="1:4" s="58" customFormat="1" ht="12" customHeight="1" thickBot="1">
      <c r="A87" s="78" t="s">
        <v>333</v>
      </c>
      <c r="B87" s="88" t="s">
        <v>334</v>
      </c>
      <c r="C87" s="69">
        <f>+C65+C69+C74+C77+C81+C86</f>
        <v>82895435</v>
      </c>
      <c r="D87" s="70">
        <f>+D65+D69+D74+D77+D81+D86</f>
        <v>0</v>
      </c>
    </row>
    <row r="88" spans="1:4" s="58" customFormat="1" ht="12" customHeight="1" thickBot="1">
      <c r="A88" s="89" t="s">
        <v>335</v>
      </c>
      <c r="B88" s="90" t="s">
        <v>336</v>
      </c>
      <c r="C88" s="69">
        <f>+C64+C87</f>
        <v>249133668.67000002</v>
      </c>
      <c r="D88" s="70">
        <f>+D64+D87</f>
        <v>0</v>
      </c>
    </row>
    <row r="89" spans="1:4" s="62" customFormat="1" ht="15" customHeight="1">
      <c r="A89" s="91"/>
      <c r="B89" s="92"/>
      <c r="C89" s="93"/>
      <c r="D89" s="93"/>
    </row>
    <row r="90" spans="1:4" ht="13.5" thickBot="1">
      <c r="A90" s="94"/>
      <c r="B90" s="95"/>
      <c r="C90" s="96"/>
      <c r="D90" s="96"/>
    </row>
    <row r="91" spans="1:4" s="49" customFormat="1" ht="16.5" customHeight="1" thickBot="1">
      <c r="A91" s="1793" t="s">
        <v>337</v>
      </c>
      <c r="B91" s="1794"/>
      <c r="C91" s="1794"/>
      <c r="D91" s="1795"/>
    </row>
    <row r="92" spans="1:4" s="101" customFormat="1" ht="12" customHeight="1" thickBot="1">
      <c r="A92" s="97" t="s">
        <v>184</v>
      </c>
      <c r="B92" s="98" t="s">
        <v>338</v>
      </c>
      <c r="C92" s="99">
        <f>SUM(C93:C97)</f>
        <v>143751025.65000001</v>
      </c>
      <c r="D92" s="100">
        <f>SUM(D93:D97)</f>
        <v>0</v>
      </c>
    </row>
    <row r="93" spans="1:4" ht="12" customHeight="1">
      <c r="A93" s="102" t="s">
        <v>186</v>
      </c>
      <c r="B93" s="103" t="s">
        <v>339</v>
      </c>
      <c r="C93" s="56">
        <f>'1.1 Összesítő'!C93</f>
        <v>59360220</v>
      </c>
      <c r="D93" s="104"/>
    </row>
    <row r="94" spans="1:4" ht="12" customHeight="1">
      <c r="A94" s="59" t="s">
        <v>188</v>
      </c>
      <c r="B94" s="105" t="s">
        <v>1</v>
      </c>
      <c r="C94" s="56">
        <f>'1.1 Összesítő'!C94</f>
        <v>10406476</v>
      </c>
      <c r="D94" s="67"/>
    </row>
    <row r="95" spans="1:4" ht="12" customHeight="1">
      <c r="A95" s="59" t="s">
        <v>190</v>
      </c>
      <c r="B95" s="105" t="s">
        <v>340</v>
      </c>
      <c r="C95" s="56">
        <f>'1.1 Összesítő'!C95</f>
        <v>68962029.650000006</v>
      </c>
      <c r="D95" s="68"/>
    </row>
    <row r="96" spans="1:4" ht="12" customHeight="1">
      <c r="A96" s="59" t="s">
        <v>192</v>
      </c>
      <c r="B96" s="106" t="s">
        <v>7</v>
      </c>
      <c r="C96" s="56">
        <f>'1.1 Összesítő'!C96</f>
        <v>2850000</v>
      </c>
      <c r="D96" s="68"/>
    </row>
    <row r="97" spans="1:4" ht="12" customHeight="1">
      <c r="A97" s="59" t="s">
        <v>341</v>
      </c>
      <c r="B97" s="107" t="s">
        <v>11</v>
      </c>
      <c r="C97" s="454">
        <f>SUM(C98:C107)</f>
        <v>2172300</v>
      </c>
      <c r="D97" s="68">
        <f>SUM(D98:D107)</f>
        <v>0</v>
      </c>
    </row>
    <row r="98" spans="1:4" ht="12" customHeight="1">
      <c r="A98" s="59" t="s">
        <v>196</v>
      </c>
      <c r="B98" s="105" t="s">
        <v>342</v>
      </c>
      <c r="C98" s="56">
        <f>'1.1 Összesítő'!C98</f>
        <v>0</v>
      </c>
      <c r="D98" s="68"/>
    </row>
    <row r="99" spans="1:4" ht="12" customHeight="1">
      <c r="A99" s="59" t="s">
        <v>343</v>
      </c>
      <c r="B99" s="108" t="s">
        <v>344</v>
      </c>
      <c r="C99" s="56">
        <f>'1.1 Összesítő'!C99</f>
        <v>0</v>
      </c>
      <c r="D99" s="68"/>
    </row>
    <row r="100" spans="1:4" ht="12" customHeight="1">
      <c r="A100" s="59" t="s">
        <v>345</v>
      </c>
      <c r="B100" s="109" t="s">
        <v>346</v>
      </c>
      <c r="C100" s="56">
        <f>'1.1 Összesítő'!C100</f>
        <v>0</v>
      </c>
      <c r="D100" s="68"/>
    </row>
    <row r="101" spans="1:4" ht="12" customHeight="1">
      <c r="A101" s="59" t="s">
        <v>347</v>
      </c>
      <c r="B101" s="109" t="s">
        <v>348</v>
      </c>
      <c r="C101" s="56">
        <f>'1.1 Összesítő'!C101</f>
        <v>0</v>
      </c>
      <c r="D101" s="68"/>
    </row>
    <row r="102" spans="1:4" ht="12" customHeight="1">
      <c r="A102" s="59" t="s">
        <v>349</v>
      </c>
      <c r="B102" s="108" t="s">
        <v>350</v>
      </c>
      <c r="C102" s="56">
        <f>'1.1 Összesítő'!C102</f>
        <v>2172300</v>
      </c>
      <c r="D102" s="68"/>
    </row>
    <row r="103" spans="1:4" ht="12" customHeight="1">
      <c r="A103" s="59" t="s">
        <v>351</v>
      </c>
      <c r="B103" s="108" t="s">
        <v>352</v>
      </c>
      <c r="C103" s="56">
        <f>'1.1 Összesítő'!C103</f>
        <v>0</v>
      </c>
      <c r="D103" s="68"/>
    </row>
    <row r="104" spans="1:4" ht="12" customHeight="1">
      <c r="A104" s="59" t="s">
        <v>353</v>
      </c>
      <c r="B104" s="109" t="s">
        <v>354</v>
      </c>
      <c r="C104" s="56">
        <f>'1.1 Összesítő'!C104</f>
        <v>0</v>
      </c>
      <c r="D104" s="68"/>
    </row>
    <row r="105" spans="1:4" ht="12" customHeight="1">
      <c r="A105" s="110" t="s">
        <v>355</v>
      </c>
      <c r="B105" s="111" t="s">
        <v>356</v>
      </c>
      <c r="C105" s="56">
        <f>'1.1 Összesítő'!C105</f>
        <v>0</v>
      </c>
      <c r="D105" s="68"/>
    </row>
    <row r="106" spans="1:4" ht="12" customHeight="1">
      <c r="A106" s="59" t="s">
        <v>357</v>
      </c>
      <c r="B106" s="111" t="s">
        <v>358</v>
      </c>
      <c r="C106" s="56">
        <f>'1.1 Összesítő'!C106</f>
        <v>0</v>
      </c>
      <c r="D106" s="68"/>
    </row>
    <row r="107" spans="1:4" ht="12" customHeight="1" thickBot="1">
      <c r="A107" s="80" t="s">
        <v>359</v>
      </c>
      <c r="B107" s="112" t="s">
        <v>360</v>
      </c>
      <c r="C107" s="56">
        <f>'1.1 Összesítő'!C107-2592000</f>
        <v>0</v>
      </c>
      <c r="D107" s="113"/>
    </row>
    <row r="108" spans="1:4" ht="12" customHeight="1" thickBot="1">
      <c r="A108" s="50" t="s">
        <v>198</v>
      </c>
      <c r="B108" s="114" t="s">
        <v>361</v>
      </c>
      <c r="C108" s="52">
        <f>+C109+C111+C113</f>
        <v>93426440.400000006</v>
      </c>
      <c r="D108" s="53">
        <f>+D109+D111+D113</f>
        <v>0</v>
      </c>
    </row>
    <row r="109" spans="1:4" ht="12" customHeight="1">
      <c r="A109" s="54" t="s">
        <v>200</v>
      </c>
      <c r="B109" s="105" t="s">
        <v>3</v>
      </c>
      <c r="C109" s="56">
        <f>'1.1 Összesítő'!C109</f>
        <v>29199500.109999999</v>
      </c>
      <c r="D109" s="66"/>
    </row>
    <row r="110" spans="1:4" ht="12" customHeight="1">
      <c r="A110" s="54" t="s">
        <v>202</v>
      </c>
      <c r="B110" s="115" t="s">
        <v>362</v>
      </c>
      <c r="C110" s="56">
        <f>'1.1 Összesítő'!C110</f>
        <v>0</v>
      </c>
      <c r="D110" s="66"/>
    </row>
    <row r="111" spans="1:4" ht="12" customHeight="1">
      <c r="A111" s="54" t="s">
        <v>204</v>
      </c>
      <c r="B111" s="115" t="s">
        <v>8</v>
      </c>
      <c r="C111" s="56">
        <f>'1.1 Összesítő'!C111</f>
        <v>63476940.289999999</v>
      </c>
      <c r="D111" s="67"/>
    </row>
    <row r="112" spans="1:4" ht="12" customHeight="1">
      <c r="A112" s="54" t="s">
        <v>206</v>
      </c>
      <c r="B112" s="115" t="s">
        <v>363</v>
      </c>
      <c r="C112" s="56">
        <f>'1.1 Összesítő'!C112</f>
        <v>0</v>
      </c>
      <c r="D112" s="67"/>
    </row>
    <row r="113" spans="1:4" ht="12" customHeight="1">
      <c r="A113" s="54" t="s">
        <v>208</v>
      </c>
      <c r="B113" s="116" t="s">
        <v>364</v>
      </c>
      <c r="C113" s="454">
        <f>SUM(C114:C121)</f>
        <v>750000</v>
      </c>
      <c r="D113" s="67">
        <f>SUM(D114:D121)</f>
        <v>0</v>
      </c>
    </row>
    <row r="114" spans="1:4" ht="12" customHeight="1">
      <c r="A114" s="54" t="s">
        <v>210</v>
      </c>
      <c r="B114" s="117" t="s">
        <v>365</v>
      </c>
      <c r="C114" s="56">
        <f>'1.1 Összesítő'!C114</f>
        <v>0</v>
      </c>
      <c r="D114" s="67"/>
    </row>
    <row r="115" spans="1:4" ht="12" customHeight="1">
      <c r="A115" s="54" t="s">
        <v>366</v>
      </c>
      <c r="B115" s="118" t="s">
        <v>367</v>
      </c>
      <c r="C115" s="56">
        <f>'1.1 Összesítő'!C115</f>
        <v>0</v>
      </c>
      <c r="D115" s="67"/>
    </row>
    <row r="116" spans="1:4" ht="12" customHeight="1">
      <c r="A116" s="54" t="s">
        <v>368</v>
      </c>
      <c r="B116" s="109" t="s">
        <v>348</v>
      </c>
      <c r="C116" s="56">
        <f>'1.1 Összesítő'!C116</f>
        <v>0</v>
      </c>
      <c r="D116" s="67"/>
    </row>
    <row r="117" spans="1:4" ht="12" customHeight="1">
      <c r="A117" s="54" t="s">
        <v>369</v>
      </c>
      <c r="B117" s="109" t="s">
        <v>370</v>
      </c>
      <c r="C117" s="56">
        <f>'1.1 Összesítő'!C117</f>
        <v>0</v>
      </c>
      <c r="D117" s="67"/>
    </row>
    <row r="118" spans="1:4" ht="12" customHeight="1">
      <c r="A118" s="54" t="s">
        <v>371</v>
      </c>
      <c r="B118" s="109" t="s">
        <v>372</v>
      </c>
      <c r="C118" s="56">
        <f>'1.1 Összesítő'!C118</f>
        <v>0</v>
      </c>
      <c r="D118" s="67"/>
    </row>
    <row r="119" spans="1:4" ht="12" customHeight="1">
      <c r="A119" s="54" t="s">
        <v>373</v>
      </c>
      <c r="B119" s="109" t="s">
        <v>354</v>
      </c>
      <c r="C119" s="56">
        <f>'1.1 Összesítő'!C119</f>
        <v>0</v>
      </c>
      <c r="D119" s="67"/>
    </row>
    <row r="120" spans="1:4" ht="12" customHeight="1">
      <c r="A120" s="54" t="s">
        <v>374</v>
      </c>
      <c r="B120" s="109" t="s">
        <v>375</v>
      </c>
      <c r="C120" s="56">
        <f>'1.1 Összesítő'!C120</f>
        <v>750000</v>
      </c>
      <c r="D120" s="67"/>
    </row>
    <row r="121" spans="1:4" ht="12" customHeight="1" thickBot="1">
      <c r="A121" s="110" t="s">
        <v>376</v>
      </c>
      <c r="B121" s="109" t="s">
        <v>377</v>
      </c>
      <c r="C121" s="56">
        <f>'1.1 Összesítő'!C121</f>
        <v>0</v>
      </c>
      <c r="D121" s="68"/>
    </row>
    <row r="122" spans="1:4" ht="12" customHeight="1" thickBot="1">
      <c r="A122" s="50" t="s">
        <v>212</v>
      </c>
      <c r="B122" s="119" t="s">
        <v>378</v>
      </c>
      <c r="C122" s="52">
        <f>+C123+C124</f>
        <v>7762552</v>
      </c>
      <c r="D122" s="53">
        <f>+D123+D124</f>
        <v>0</v>
      </c>
    </row>
    <row r="123" spans="1:4" ht="12" customHeight="1">
      <c r="A123" s="54" t="s">
        <v>214</v>
      </c>
      <c r="B123" s="120" t="s">
        <v>379</v>
      </c>
      <c r="C123" s="56">
        <f>'1.1 Összesítő'!C123</f>
        <v>3690000</v>
      </c>
      <c r="D123" s="66"/>
    </row>
    <row r="124" spans="1:4" ht="12" customHeight="1" thickBot="1">
      <c r="A124" s="63" t="s">
        <v>216</v>
      </c>
      <c r="B124" s="115" t="s">
        <v>380</v>
      </c>
      <c r="C124" s="56">
        <f>'1.1 Összesítő'!C124</f>
        <v>4072552</v>
      </c>
      <c r="D124" s="68"/>
    </row>
    <row r="125" spans="1:4" ht="12" customHeight="1" thickBot="1">
      <c r="A125" s="50" t="s">
        <v>381</v>
      </c>
      <c r="B125" s="119" t="s">
        <v>382</v>
      </c>
      <c r="C125" s="52">
        <f>+C92+C108+C122</f>
        <v>244940018.05000001</v>
      </c>
      <c r="D125" s="53">
        <f>+D92+D108+D122</f>
        <v>0</v>
      </c>
    </row>
    <row r="126" spans="1:4" ht="12" customHeight="1" thickBot="1">
      <c r="A126" s="50" t="s">
        <v>233</v>
      </c>
      <c r="B126" s="119" t="s">
        <v>383</v>
      </c>
      <c r="C126" s="52">
        <f>+C127+C128+C129</f>
        <v>600000</v>
      </c>
      <c r="D126" s="53">
        <f>+D127+D128+D129</f>
        <v>0</v>
      </c>
    </row>
    <row r="127" spans="1:4" s="101" customFormat="1" ht="12" customHeight="1">
      <c r="A127" s="54" t="s">
        <v>235</v>
      </c>
      <c r="B127" s="120" t="s">
        <v>384</v>
      </c>
      <c r="C127" s="56">
        <f>'1.1 Összesítő'!C127</f>
        <v>600000</v>
      </c>
      <c r="D127" s="67"/>
    </row>
    <row r="128" spans="1:4" ht="12" customHeight="1">
      <c r="A128" s="54" t="s">
        <v>237</v>
      </c>
      <c r="B128" s="120" t="s">
        <v>385</v>
      </c>
      <c r="C128" s="56">
        <f>'1.1 Összesítő'!C128</f>
        <v>0</v>
      </c>
      <c r="D128" s="67"/>
    </row>
    <row r="129" spans="1:11" ht="12" customHeight="1" thickBot="1">
      <c r="A129" s="110" t="s">
        <v>239</v>
      </c>
      <c r="B129" s="121" t="s">
        <v>386</v>
      </c>
      <c r="C129" s="56">
        <f>'1.1 Összesítő'!C129</f>
        <v>0</v>
      </c>
      <c r="D129" s="67"/>
    </row>
    <row r="130" spans="1:11" ht="12" customHeight="1" thickBot="1">
      <c r="A130" s="50" t="s">
        <v>255</v>
      </c>
      <c r="B130" s="119" t="s">
        <v>387</v>
      </c>
      <c r="C130" s="52">
        <f>+C131+C132+C133+C134</f>
        <v>0</v>
      </c>
      <c r="D130" s="53">
        <f>+D131+D132+D133+D134</f>
        <v>0</v>
      </c>
    </row>
    <row r="131" spans="1:11" ht="12" customHeight="1">
      <c r="A131" s="54" t="s">
        <v>257</v>
      </c>
      <c r="B131" s="120" t="s">
        <v>388</v>
      </c>
      <c r="C131" s="56">
        <f>'1.1 Összesítő'!C131</f>
        <v>0</v>
      </c>
      <c r="D131" s="67"/>
    </row>
    <row r="132" spans="1:11" ht="12" customHeight="1">
      <c r="A132" s="54" t="s">
        <v>259</v>
      </c>
      <c r="B132" s="120" t="s">
        <v>389</v>
      </c>
      <c r="C132" s="56">
        <f>'1.1 Összesítő'!C132</f>
        <v>0</v>
      </c>
      <c r="D132" s="67"/>
    </row>
    <row r="133" spans="1:11" ht="12" customHeight="1">
      <c r="A133" s="54" t="s">
        <v>261</v>
      </c>
      <c r="B133" s="120" t="s">
        <v>390</v>
      </c>
      <c r="C133" s="56">
        <f>'1.1 Összesítő'!C133</f>
        <v>0</v>
      </c>
      <c r="D133" s="67"/>
    </row>
    <row r="134" spans="1:11" s="101" customFormat="1" ht="12" customHeight="1" thickBot="1">
      <c r="A134" s="110" t="s">
        <v>263</v>
      </c>
      <c r="B134" s="121" t="s">
        <v>391</v>
      </c>
      <c r="C134" s="56">
        <f>'1.1 Összesítő'!C134</f>
        <v>0</v>
      </c>
      <c r="D134" s="67"/>
    </row>
    <row r="135" spans="1:11" ht="12" customHeight="1" thickBot="1">
      <c r="A135" s="50" t="s">
        <v>392</v>
      </c>
      <c r="B135" s="119" t="s">
        <v>393</v>
      </c>
      <c r="C135" s="69">
        <f>+C136+C137+C138+C139</f>
        <v>3593651</v>
      </c>
      <c r="D135" s="70">
        <f>+D136+D137+D138+D139</f>
        <v>0</v>
      </c>
      <c r="K135" s="122"/>
    </row>
    <row r="136" spans="1:11">
      <c r="A136" s="54" t="s">
        <v>269</v>
      </c>
      <c r="B136" s="120" t="s">
        <v>394</v>
      </c>
      <c r="C136" s="456"/>
      <c r="D136" s="67"/>
    </row>
    <row r="137" spans="1:11" ht="12" customHeight="1">
      <c r="A137" s="54" t="s">
        <v>271</v>
      </c>
      <c r="B137" s="120" t="s">
        <v>395</v>
      </c>
      <c r="C137" s="56">
        <f>'1.1 Összesítő'!C137</f>
        <v>3593651</v>
      </c>
      <c r="D137" s="67"/>
    </row>
    <row r="138" spans="1:11" s="101" customFormat="1" ht="12" customHeight="1">
      <c r="A138" s="54" t="s">
        <v>273</v>
      </c>
      <c r="B138" s="120" t="s">
        <v>396</v>
      </c>
      <c r="C138" s="56">
        <f>'1.1 Összesítő'!C138</f>
        <v>0</v>
      </c>
      <c r="D138" s="67"/>
    </row>
    <row r="139" spans="1:11" s="101" customFormat="1" ht="12" customHeight="1" thickBot="1">
      <c r="A139" s="110" t="s">
        <v>275</v>
      </c>
      <c r="B139" s="121" t="s">
        <v>397</v>
      </c>
      <c r="C139" s="56">
        <f>'1.1 Összesítő'!C139</f>
        <v>0</v>
      </c>
      <c r="D139" s="67"/>
    </row>
    <row r="140" spans="1:11" s="101" customFormat="1" ht="12" customHeight="1" thickBot="1">
      <c r="A140" s="50" t="s">
        <v>277</v>
      </c>
      <c r="B140" s="119" t="s">
        <v>398</v>
      </c>
      <c r="C140" s="123">
        <f>+C141+C142+C143+C144</f>
        <v>0</v>
      </c>
      <c r="D140" s="124">
        <f>+D141+D142+D143+D144</f>
        <v>0</v>
      </c>
    </row>
    <row r="141" spans="1:11" s="101" customFormat="1" ht="12" customHeight="1">
      <c r="A141" s="54" t="s">
        <v>279</v>
      </c>
      <c r="B141" s="120" t="s">
        <v>399</v>
      </c>
      <c r="C141" s="56">
        <f>'1.1 Összesítő'!C141</f>
        <v>0</v>
      </c>
      <c r="D141" s="67"/>
    </row>
    <row r="142" spans="1:11" s="101" customFormat="1" ht="12" customHeight="1">
      <c r="A142" s="54" t="s">
        <v>281</v>
      </c>
      <c r="B142" s="120" t="s">
        <v>400</v>
      </c>
      <c r="C142" s="56">
        <f>'1.1 Összesítő'!C142</f>
        <v>0</v>
      </c>
      <c r="D142" s="67"/>
    </row>
    <row r="143" spans="1:11" s="101" customFormat="1" ht="12" customHeight="1">
      <c r="A143" s="54" t="s">
        <v>283</v>
      </c>
      <c r="B143" s="120" t="s">
        <v>401</v>
      </c>
      <c r="C143" s="56">
        <f>'1.1 Összesítő'!C143</f>
        <v>0</v>
      </c>
      <c r="D143" s="67"/>
    </row>
    <row r="144" spans="1:11" ht="12.75" customHeight="1" thickBot="1">
      <c r="A144" s="54" t="s">
        <v>285</v>
      </c>
      <c r="B144" s="120" t="s">
        <v>402</v>
      </c>
      <c r="C144" s="56">
        <f>'1.1 Összesítő'!C144</f>
        <v>0</v>
      </c>
      <c r="D144" s="67"/>
    </row>
    <row r="145" spans="1:5" ht="12" customHeight="1" thickBot="1">
      <c r="A145" s="50" t="s">
        <v>287</v>
      </c>
      <c r="B145" s="119" t="s">
        <v>403</v>
      </c>
      <c r="C145" s="125">
        <f>+C126+C130+C135+C140</f>
        <v>4193651</v>
      </c>
      <c r="D145" s="126">
        <f>+D126+D130+D135+D140</f>
        <v>0</v>
      </c>
    </row>
    <row r="146" spans="1:5" ht="15" customHeight="1" thickBot="1">
      <c r="A146" s="127" t="s">
        <v>404</v>
      </c>
      <c r="B146" s="128" t="s">
        <v>405</v>
      </c>
      <c r="C146" s="125">
        <f>+C125+C145</f>
        <v>249133669.05000001</v>
      </c>
      <c r="D146" s="126">
        <f>+D125+D145</f>
        <v>0</v>
      </c>
    </row>
    <row r="148" spans="1:5" s="130" customFormat="1" ht="15.75">
      <c r="A148" s="1807" t="s">
        <v>406</v>
      </c>
      <c r="B148" s="1807"/>
      <c r="C148" s="1807"/>
      <c r="D148" s="129"/>
      <c r="E148" s="129"/>
    </row>
    <row r="149" spans="1:5" s="130" customFormat="1" ht="15" customHeight="1" thickBot="1">
      <c r="A149" s="1808"/>
      <c r="B149" s="1808"/>
      <c r="C149" s="1809" t="s">
        <v>647</v>
      </c>
      <c r="D149" s="1809"/>
      <c r="E149" s="129"/>
    </row>
    <row r="150" spans="1:5" s="130" customFormat="1" ht="24.95" customHeight="1" thickBot="1">
      <c r="A150" s="131">
        <v>1</v>
      </c>
      <c r="B150" s="132" t="s">
        <v>407</v>
      </c>
      <c r="C150" s="133">
        <f>C64-C125</f>
        <v>-78701784.379999995</v>
      </c>
      <c r="D150" s="77">
        <f>D64-D125</f>
        <v>0</v>
      </c>
      <c r="E150" s="134">
        <f>+E63-E125</f>
        <v>0</v>
      </c>
    </row>
    <row r="151" spans="1:5" s="130" customFormat="1" ht="27.75" customHeight="1" thickBot="1">
      <c r="A151" s="131" t="s">
        <v>198</v>
      </c>
      <c r="B151" s="132" t="s">
        <v>408</v>
      </c>
      <c r="C151" s="133">
        <f>C87-C145</f>
        <v>78701784</v>
      </c>
      <c r="D151" s="77">
        <f>D87-D145</f>
        <v>0</v>
      </c>
      <c r="E151" s="134">
        <f>+E86-E145</f>
        <v>0</v>
      </c>
    </row>
  </sheetData>
  <sheetProtection selectLockedCells="1" selectUnlockedCells="1"/>
  <mergeCells count="9">
    <mergeCell ref="A148:C148"/>
    <mergeCell ref="A149:B149"/>
    <mergeCell ref="C149:D149"/>
    <mergeCell ref="A1:D1"/>
    <mergeCell ref="C2:D2"/>
    <mergeCell ref="C3:D3"/>
    <mergeCell ref="C4:D4"/>
    <mergeCell ref="A7:D7"/>
    <mergeCell ref="A91:D9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  <rowBreaks count="2" manualBreakCount="2">
    <brk id="69" max="3" man="1"/>
    <brk id="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K151"/>
  <sheetViews>
    <sheetView view="pageBreakPreview" topLeftCell="A112" zoomScaleNormal="100" zoomScaleSheetLayoutView="100" workbookViewId="0">
      <selection activeCell="C34" sqref="C34"/>
    </sheetView>
  </sheetViews>
  <sheetFormatPr defaultColWidth="9.140625" defaultRowHeight="12.75"/>
  <cols>
    <col min="1" max="1" width="16.7109375" style="135" customWidth="1"/>
    <col min="2" max="2" width="52.5703125" style="136" customWidth="1"/>
    <col min="3" max="3" width="11" style="137" customWidth="1"/>
    <col min="4" max="4" width="13.42578125" style="137" customWidth="1"/>
    <col min="5" max="16384" width="9.140625" style="44"/>
  </cols>
  <sheetData>
    <row r="1" spans="1:4" s="31" customFormat="1" ht="16.5" customHeight="1" thickBot="1">
      <c r="A1" s="1796" t="s">
        <v>812</v>
      </c>
      <c r="B1" s="1796"/>
      <c r="C1" s="1796"/>
      <c r="D1" s="1796"/>
    </row>
    <row r="2" spans="1:4" s="34" customFormat="1" ht="21" customHeight="1">
      <c r="A2" s="32" t="s">
        <v>176</v>
      </c>
      <c r="B2" s="33" t="s">
        <v>177</v>
      </c>
      <c r="C2" s="1797" t="s">
        <v>178</v>
      </c>
      <c r="D2" s="1798"/>
    </row>
    <row r="3" spans="1:4" s="34" customFormat="1" ht="16.5" thickBot="1">
      <c r="A3" s="35" t="s">
        <v>179</v>
      </c>
      <c r="B3" s="36" t="s">
        <v>613</v>
      </c>
      <c r="C3" s="1799">
        <v>1</v>
      </c>
      <c r="D3" s="1800"/>
    </row>
    <row r="4" spans="1:4" s="39" customFormat="1" ht="15.95" customHeight="1" thickBot="1">
      <c r="A4" s="37"/>
      <c r="B4" s="38"/>
      <c r="C4" s="1801" t="s">
        <v>644</v>
      </c>
      <c r="D4" s="1802"/>
    </row>
    <row r="5" spans="1:4" ht="36.75" thickBot="1">
      <c r="A5" s="661" t="s">
        <v>181</v>
      </c>
      <c r="B5" s="41" t="s">
        <v>182</v>
      </c>
      <c r="C5" s="42" t="s">
        <v>771</v>
      </c>
      <c r="D5" s="43" t="s">
        <v>772</v>
      </c>
    </row>
    <row r="6" spans="1:4" s="49" customFormat="1" ht="12.95" customHeight="1" thickBot="1">
      <c r="A6" s="45">
        <v>1</v>
      </c>
      <c r="B6" s="46">
        <v>2</v>
      </c>
      <c r="C6" s="47">
        <v>3</v>
      </c>
      <c r="D6" s="48">
        <v>4</v>
      </c>
    </row>
    <row r="7" spans="1:4" s="49" customFormat="1" ht="15.95" customHeight="1" thickBot="1">
      <c r="A7" s="1793" t="s">
        <v>183</v>
      </c>
      <c r="B7" s="1794"/>
      <c r="C7" s="1794"/>
      <c r="D7" s="1795"/>
    </row>
    <row r="8" spans="1:4" s="49" customFormat="1" ht="12" customHeight="1" thickBot="1">
      <c r="A8" s="50" t="s">
        <v>184</v>
      </c>
      <c r="B8" s="51" t="s">
        <v>185</v>
      </c>
      <c r="C8" s="52">
        <f>+C9+C10+C11+C12+C13+C14</f>
        <v>0</v>
      </c>
      <c r="D8" s="53">
        <f>+D9+D10+D11+D12+D13+D14</f>
        <v>0</v>
      </c>
    </row>
    <row r="9" spans="1:4" s="58" customFormat="1" ht="12" customHeight="1">
      <c r="A9" s="54" t="s">
        <v>186</v>
      </c>
      <c r="B9" s="55" t="s">
        <v>187</v>
      </c>
      <c r="C9" s="56"/>
      <c r="D9" s="57"/>
    </row>
    <row r="10" spans="1:4" s="62" customFormat="1" ht="12" customHeight="1">
      <c r="A10" s="59" t="s">
        <v>188</v>
      </c>
      <c r="B10" s="60" t="s">
        <v>189</v>
      </c>
      <c r="C10" s="56"/>
      <c r="D10" s="61"/>
    </row>
    <row r="11" spans="1:4" s="62" customFormat="1" ht="12" customHeight="1">
      <c r="A11" s="59" t="s">
        <v>190</v>
      </c>
      <c r="B11" s="60" t="s">
        <v>191</v>
      </c>
      <c r="C11" s="56"/>
      <c r="D11" s="61"/>
    </row>
    <row r="12" spans="1:4" s="62" customFormat="1" ht="12" customHeight="1">
      <c r="A12" s="59" t="s">
        <v>192</v>
      </c>
      <c r="B12" s="60" t="s">
        <v>193</v>
      </c>
      <c r="C12" s="56"/>
      <c r="D12" s="61"/>
    </row>
    <row r="13" spans="1:4" s="62" customFormat="1" ht="12" customHeight="1">
      <c r="A13" s="59" t="s">
        <v>194</v>
      </c>
      <c r="B13" s="60" t="s">
        <v>195</v>
      </c>
      <c r="C13" s="56"/>
      <c r="D13" s="61"/>
    </row>
    <row r="14" spans="1:4" s="58" customFormat="1" ht="12" customHeight="1" thickBot="1">
      <c r="A14" s="63" t="s">
        <v>196</v>
      </c>
      <c r="B14" s="64" t="s">
        <v>197</v>
      </c>
      <c r="C14" s="56"/>
      <c r="D14" s="61"/>
    </row>
    <row r="15" spans="1:4" s="58" customFormat="1" ht="23.25" customHeight="1" thickBot="1">
      <c r="A15" s="50" t="s">
        <v>198</v>
      </c>
      <c r="B15" s="65" t="s">
        <v>199</v>
      </c>
      <c r="C15" s="52">
        <f>+C16+C17+C18+C19+C20</f>
        <v>0</v>
      </c>
      <c r="D15" s="53">
        <f>+D16+D17+D18+D19+D20</f>
        <v>0</v>
      </c>
    </row>
    <row r="16" spans="1:4" s="58" customFormat="1" ht="12" customHeight="1">
      <c r="A16" s="54" t="s">
        <v>200</v>
      </c>
      <c r="B16" s="55" t="s">
        <v>201</v>
      </c>
      <c r="C16" s="56"/>
      <c r="D16" s="66"/>
    </row>
    <row r="17" spans="1:4" s="58" customFormat="1" ht="12" customHeight="1">
      <c r="A17" s="59" t="s">
        <v>202</v>
      </c>
      <c r="B17" s="60" t="s">
        <v>203</v>
      </c>
      <c r="C17" s="56"/>
      <c r="D17" s="67"/>
    </row>
    <row r="18" spans="1:4" s="58" customFormat="1" ht="12" customHeight="1">
      <c r="A18" s="59" t="s">
        <v>204</v>
      </c>
      <c r="B18" s="60" t="s">
        <v>205</v>
      </c>
      <c r="C18" s="56"/>
      <c r="D18" s="67"/>
    </row>
    <row r="19" spans="1:4" s="58" customFormat="1" ht="12" customHeight="1">
      <c r="A19" s="59" t="s">
        <v>206</v>
      </c>
      <c r="B19" s="60" t="s">
        <v>207</v>
      </c>
      <c r="C19" s="56"/>
      <c r="D19" s="67"/>
    </row>
    <row r="20" spans="1:4" s="58" customFormat="1" ht="12" customHeight="1">
      <c r="A20" s="59" t="s">
        <v>208</v>
      </c>
      <c r="B20" s="60" t="s">
        <v>209</v>
      </c>
      <c r="C20" s="56"/>
      <c r="D20" s="61"/>
    </row>
    <row r="21" spans="1:4" s="62" customFormat="1" ht="12" customHeight="1" thickBot="1">
      <c r="A21" s="63" t="s">
        <v>210</v>
      </c>
      <c r="B21" s="64" t="s">
        <v>211</v>
      </c>
      <c r="C21" s="56"/>
      <c r="D21" s="68"/>
    </row>
    <row r="22" spans="1:4" s="62" customFormat="1" ht="22.5" customHeight="1" thickBot="1">
      <c r="A22" s="50" t="s">
        <v>212</v>
      </c>
      <c r="B22" s="51" t="s">
        <v>213</v>
      </c>
      <c r="C22" s="52">
        <f>+C23+C24+C25+C26+C27</f>
        <v>0</v>
      </c>
      <c r="D22" s="53">
        <f>+D23+D24+D25+D26+D27</f>
        <v>0</v>
      </c>
    </row>
    <row r="23" spans="1:4" s="62" customFormat="1" ht="12" customHeight="1">
      <c r="A23" s="54" t="s">
        <v>214</v>
      </c>
      <c r="B23" s="55" t="s">
        <v>215</v>
      </c>
      <c r="C23" s="56"/>
      <c r="D23" s="66"/>
    </row>
    <row r="24" spans="1:4" s="58" customFormat="1" ht="12" customHeight="1">
      <c r="A24" s="59" t="s">
        <v>216</v>
      </c>
      <c r="B24" s="60" t="s">
        <v>217</v>
      </c>
      <c r="C24" s="56"/>
      <c r="D24" s="67"/>
    </row>
    <row r="25" spans="1:4" s="62" customFormat="1" ht="12" customHeight="1">
      <c r="A25" s="59" t="s">
        <v>218</v>
      </c>
      <c r="B25" s="60" t="s">
        <v>219</v>
      </c>
      <c r="C25" s="56"/>
      <c r="D25" s="67"/>
    </row>
    <row r="26" spans="1:4" s="62" customFormat="1" ht="12" customHeight="1">
      <c r="A26" s="59" t="s">
        <v>220</v>
      </c>
      <c r="B26" s="60" t="s">
        <v>221</v>
      </c>
      <c r="C26" s="56"/>
      <c r="D26" s="67"/>
    </row>
    <row r="27" spans="1:4" s="62" customFormat="1" ht="12" customHeight="1">
      <c r="A27" s="59" t="s">
        <v>222</v>
      </c>
      <c r="B27" s="60" t="s">
        <v>223</v>
      </c>
      <c r="C27" s="56"/>
      <c r="D27" s="61"/>
    </row>
    <row r="28" spans="1:4" s="62" customFormat="1" ht="12" customHeight="1" thickBot="1">
      <c r="A28" s="63" t="s">
        <v>224</v>
      </c>
      <c r="B28" s="64" t="s">
        <v>225</v>
      </c>
      <c r="C28" s="56"/>
      <c r="D28" s="68"/>
    </row>
    <row r="29" spans="1:4" s="62" customFormat="1" ht="12" customHeight="1" thickBot="1">
      <c r="A29" s="50" t="s">
        <v>226</v>
      </c>
      <c r="B29" s="51" t="s">
        <v>227</v>
      </c>
      <c r="C29" s="69">
        <f>+C30+C36</f>
        <v>0</v>
      </c>
      <c r="D29" s="70">
        <f>+D30+D34+D35+D36</f>
        <v>0</v>
      </c>
    </row>
    <row r="30" spans="1:4" s="62" customFormat="1" ht="12" customHeight="1">
      <c r="A30" s="54" t="s">
        <v>228</v>
      </c>
      <c r="B30" s="55" t="s">
        <v>552</v>
      </c>
      <c r="C30" s="71"/>
      <c r="D30" s="72"/>
    </row>
    <row r="31" spans="1:4" s="62" customFormat="1" ht="12" customHeight="1">
      <c r="A31" s="59" t="s">
        <v>229</v>
      </c>
      <c r="B31" s="452" t="s">
        <v>599</v>
      </c>
      <c r="C31" s="56"/>
      <c r="D31" s="72"/>
    </row>
    <row r="32" spans="1:4" s="62" customFormat="1" ht="12" customHeight="1">
      <c r="A32" s="59" t="s">
        <v>231</v>
      </c>
      <c r="B32" s="60" t="s">
        <v>230</v>
      </c>
      <c r="C32" s="56"/>
      <c r="D32" s="61"/>
    </row>
    <row r="33" spans="1:4" s="62" customFormat="1" ht="12" customHeight="1">
      <c r="A33" s="59" t="s">
        <v>549</v>
      </c>
      <c r="B33" s="452" t="s">
        <v>550</v>
      </c>
      <c r="C33" s="56">
        <v>2592000</v>
      </c>
      <c r="D33" s="61"/>
    </row>
    <row r="34" spans="1:4" s="62" customFormat="1" ht="12" customHeight="1">
      <c r="A34" s="59" t="s">
        <v>551</v>
      </c>
      <c r="B34" s="452" t="s">
        <v>548</v>
      </c>
      <c r="C34" s="56"/>
      <c r="D34" s="61"/>
    </row>
    <row r="35" spans="1:4" s="62" customFormat="1" ht="12" customHeight="1">
      <c r="A35" s="59" t="s">
        <v>597</v>
      </c>
      <c r="B35" s="452" t="s">
        <v>598</v>
      </c>
      <c r="C35" s="56"/>
      <c r="D35" s="61"/>
    </row>
    <row r="36" spans="1:4" s="62" customFormat="1" ht="12" customHeight="1" thickBot="1">
      <c r="A36" s="63" t="s">
        <v>232</v>
      </c>
      <c r="B36" s="64" t="s">
        <v>6</v>
      </c>
      <c r="C36" s="56"/>
      <c r="D36" s="73"/>
    </row>
    <row r="37" spans="1:4" s="62" customFormat="1" ht="12" customHeight="1" thickBot="1">
      <c r="A37" s="50" t="s">
        <v>233</v>
      </c>
      <c r="B37" s="51" t="s">
        <v>234</v>
      </c>
      <c r="C37" s="52">
        <f>SUM(C38:C47)</f>
        <v>0</v>
      </c>
      <c r="D37" s="53">
        <f>SUM(D38:D47)</f>
        <v>0</v>
      </c>
    </row>
    <row r="38" spans="1:4" s="62" customFormat="1" ht="12" customHeight="1">
      <c r="A38" s="54" t="s">
        <v>235</v>
      </c>
      <c r="B38" s="55" t="s">
        <v>236</v>
      </c>
      <c r="C38" s="56"/>
      <c r="D38" s="67"/>
    </row>
    <row r="39" spans="1:4" s="62" customFormat="1" ht="12" customHeight="1">
      <c r="A39" s="59" t="s">
        <v>237</v>
      </c>
      <c r="B39" s="60" t="s">
        <v>238</v>
      </c>
      <c r="C39" s="56"/>
      <c r="D39" s="67"/>
    </row>
    <row r="40" spans="1:4" s="62" customFormat="1" ht="12" customHeight="1">
      <c r="A40" s="59" t="s">
        <v>239</v>
      </c>
      <c r="B40" s="60" t="s">
        <v>240</v>
      </c>
      <c r="C40" s="56"/>
      <c r="D40" s="67"/>
    </row>
    <row r="41" spans="1:4" s="62" customFormat="1" ht="12" customHeight="1">
      <c r="A41" s="59" t="s">
        <v>241</v>
      </c>
      <c r="B41" s="60" t="s">
        <v>242</v>
      </c>
      <c r="C41" s="56"/>
      <c r="D41" s="67"/>
    </row>
    <row r="42" spans="1:4" s="62" customFormat="1" ht="12" customHeight="1">
      <c r="A42" s="59" t="s">
        <v>243</v>
      </c>
      <c r="B42" s="60" t="s">
        <v>244</v>
      </c>
      <c r="C42" s="56"/>
      <c r="D42" s="67"/>
    </row>
    <row r="43" spans="1:4" s="62" customFormat="1" ht="12" customHeight="1">
      <c r="A43" s="59" t="s">
        <v>245</v>
      </c>
      <c r="B43" s="60" t="s">
        <v>246</v>
      </c>
      <c r="C43" s="56"/>
      <c r="D43" s="67"/>
    </row>
    <row r="44" spans="1:4" s="62" customFormat="1" ht="12" customHeight="1">
      <c r="A44" s="59" t="s">
        <v>247</v>
      </c>
      <c r="B44" s="60" t="s">
        <v>248</v>
      </c>
      <c r="C44" s="56"/>
      <c r="D44" s="67"/>
    </row>
    <row r="45" spans="1:4" s="62" customFormat="1" ht="12" customHeight="1">
      <c r="A45" s="59" t="s">
        <v>249</v>
      </c>
      <c r="B45" s="60" t="s">
        <v>250</v>
      </c>
      <c r="C45" s="56"/>
      <c r="D45" s="67"/>
    </row>
    <row r="46" spans="1:4" s="62" customFormat="1" ht="12" customHeight="1">
      <c r="A46" s="59" t="s">
        <v>251</v>
      </c>
      <c r="B46" s="60" t="s">
        <v>252</v>
      </c>
      <c r="C46" s="56"/>
      <c r="D46" s="74"/>
    </row>
    <row r="47" spans="1:4" s="62" customFormat="1" ht="12" customHeight="1" thickBot="1">
      <c r="A47" s="63" t="s">
        <v>253</v>
      </c>
      <c r="B47" s="64" t="s">
        <v>254</v>
      </c>
      <c r="C47" s="56"/>
      <c r="D47" s="75"/>
    </row>
    <row r="48" spans="1:4" s="62" customFormat="1" ht="12" customHeight="1" thickBot="1">
      <c r="A48" s="50" t="s">
        <v>255</v>
      </c>
      <c r="B48" s="51" t="s">
        <v>256</v>
      </c>
      <c r="C48" s="52">
        <f>SUM(C49:C53)</f>
        <v>0</v>
      </c>
      <c r="D48" s="53">
        <f>SUM(D49:D53)</f>
        <v>0</v>
      </c>
    </row>
    <row r="49" spans="1:4" s="62" customFormat="1" ht="12" customHeight="1">
      <c r="A49" s="54" t="s">
        <v>257</v>
      </c>
      <c r="B49" s="55" t="s">
        <v>258</v>
      </c>
      <c r="C49" s="56"/>
      <c r="D49" s="76"/>
    </row>
    <row r="50" spans="1:4" s="62" customFormat="1" ht="12" customHeight="1">
      <c r="A50" s="59" t="s">
        <v>259</v>
      </c>
      <c r="B50" s="60" t="s">
        <v>260</v>
      </c>
      <c r="C50" s="56"/>
      <c r="D50" s="74"/>
    </row>
    <row r="51" spans="1:4" s="62" customFormat="1" ht="12" customHeight="1">
      <c r="A51" s="59" t="s">
        <v>261</v>
      </c>
      <c r="B51" s="60" t="s">
        <v>262</v>
      </c>
      <c r="C51" s="56"/>
      <c r="D51" s="74"/>
    </row>
    <row r="52" spans="1:4" s="62" customFormat="1" ht="12" customHeight="1">
      <c r="A52" s="59" t="s">
        <v>263</v>
      </c>
      <c r="B52" s="60" t="s">
        <v>264</v>
      </c>
      <c r="C52" s="56"/>
      <c r="D52" s="74"/>
    </row>
    <row r="53" spans="1:4" s="62" customFormat="1" ht="12" customHeight="1" thickBot="1">
      <c r="A53" s="63" t="s">
        <v>265</v>
      </c>
      <c r="B53" s="64" t="s">
        <v>266</v>
      </c>
      <c r="C53" s="56"/>
      <c r="D53" s="75"/>
    </row>
    <row r="54" spans="1:4" s="62" customFormat="1" ht="12" customHeight="1" thickBot="1">
      <c r="A54" s="50" t="s">
        <v>267</v>
      </c>
      <c r="B54" s="51" t="s">
        <v>268</v>
      </c>
      <c r="C54" s="52">
        <f>SUM(C55:C57)</f>
        <v>0</v>
      </c>
      <c r="D54" s="53">
        <f>SUM(D55:D57)</f>
        <v>0</v>
      </c>
    </row>
    <row r="55" spans="1:4" s="62" customFormat="1" ht="12" customHeight="1">
      <c r="A55" s="54" t="s">
        <v>269</v>
      </c>
      <c r="B55" s="55" t="s">
        <v>270</v>
      </c>
      <c r="C55" s="56"/>
      <c r="D55" s="66"/>
    </row>
    <row r="56" spans="1:4" s="62" customFormat="1" ht="12" customHeight="1">
      <c r="A56" s="59" t="s">
        <v>271</v>
      </c>
      <c r="B56" s="60" t="s">
        <v>272</v>
      </c>
      <c r="C56" s="56"/>
      <c r="D56" s="67"/>
    </row>
    <row r="57" spans="1:4" s="62" customFormat="1" ht="12" customHeight="1">
      <c r="A57" s="59" t="s">
        <v>273</v>
      </c>
      <c r="B57" s="60" t="s">
        <v>274</v>
      </c>
      <c r="C57" s="56"/>
      <c r="D57" s="61"/>
    </row>
    <row r="58" spans="1:4" s="62" customFormat="1" ht="12" customHeight="1" thickBot="1">
      <c r="A58" s="63" t="s">
        <v>275</v>
      </c>
      <c r="B58" s="64" t="s">
        <v>276</v>
      </c>
      <c r="C58" s="56"/>
      <c r="D58" s="73"/>
    </row>
    <row r="59" spans="1:4" s="62" customFormat="1" ht="12" customHeight="1" thickBot="1">
      <c r="A59" s="50" t="s">
        <v>277</v>
      </c>
      <c r="B59" s="65" t="s">
        <v>278</v>
      </c>
      <c r="C59" s="52">
        <f>SUM(C60:C62)</f>
        <v>0</v>
      </c>
      <c r="D59" s="77">
        <f>SUM(D60:D62)</f>
        <v>0</v>
      </c>
    </row>
    <row r="60" spans="1:4" s="62" customFormat="1" ht="12" customHeight="1">
      <c r="A60" s="54" t="s">
        <v>279</v>
      </c>
      <c r="B60" s="55" t="s">
        <v>280</v>
      </c>
      <c r="C60" s="56"/>
      <c r="D60" s="61"/>
    </row>
    <row r="61" spans="1:4" s="62" customFormat="1" ht="12" customHeight="1">
      <c r="A61" s="59" t="s">
        <v>281</v>
      </c>
      <c r="B61" s="60" t="s">
        <v>282</v>
      </c>
      <c r="C61" s="56"/>
      <c r="D61" s="67"/>
    </row>
    <row r="62" spans="1:4" s="62" customFormat="1" ht="12" customHeight="1">
      <c r="A62" s="59" t="s">
        <v>283</v>
      </c>
      <c r="B62" s="60" t="s">
        <v>284</v>
      </c>
      <c r="C62" s="56"/>
      <c r="D62" s="67"/>
    </row>
    <row r="63" spans="1:4" s="62" customFormat="1" ht="12" customHeight="1" thickBot="1">
      <c r="A63" s="63" t="s">
        <v>285</v>
      </c>
      <c r="B63" s="64" t="s">
        <v>286</v>
      </c>
      <c r="C63" s="56"/>
      <c r="D63" s="74"/>
    </row>
    <row r="64" spans="1:4" s="62" customFormat="1" ht="12" customHeight="1" thickBot="1">
      <c r="A64" s="50" t="s">
        <v>287</v>
      </c>
      <c r="B64" s="51" t="s">
        <v>288</v>
      </c>
      <c r="C64" s="69">
        <f>+C8+C15+C22+C29+C37+C48+C54+C59</f>
        <v>0</v>
      </c>
      <c r="D64" s="70">
        <f>+D8+D15+D22+D29+D37+D48+D54+D59</f>
        <v>0</v>
      </c>
    </row>
    <row r="65" spans="1:4" s="62" customFormat="1" ht="12" customHeight="1" thickBot="1">
      <c r="A65" s="78" t="s">
        <v>289</v>
      </c>
      <c r="B65" s="65" t="s">
        <v>290</v>
      </c>
      <c r="C65" s="52">
        <f>SUM(C66:C68)</f>
        <v>0</v>
      </c>
      <c r="D65" s="53">
        <f>SUM(D66:D68)</f>
        <v>0</v>
      </c>
    </row>
    <row r="66" spans="1:4" s="62" customFormat="1" ht="12" customHeight="1">
      <c r="A66" s="54" t="s">
        <v>291</v>
      </c>
      <c r="B66" s="55" t="s">
        <v>292</v>
      </c>
      <c r="C66" s="56"/>
      <c r="D66" s="74"/>
    </row>
    <row r="67" spans="1:4" s="62" customFormat="1" ht="12" customHeight="1">
      <c r="A67" s="59" t="s">
        <v>293</v>
      </c>
      <c r="B67" s="60" t="s">
        <v>294</v>
      </c>
      <c r="C67" s="56"/>
      <c r="D67" s="74"/>
    </row>
    <row r="68" spans="1:4" s="62" customFormat="1" ht="12" customHeight="1" thickBot="1">
      <c r="A68" s="63" t="s">
        <v>295</v>
      </c>
      <c r="B68" s="79" t="s">
        <v>296</v>
      </c>
      <c r="C68" s="56"/>
      <c r="D68" s="74"/>
    </row>
    <row r="69" spans="1:4" s="62" customFormat="1" ht="12" customHeight="1" thickBot="1">
      <c r="A69" s="78" t="s">
        <v>297</v>
      </c>
      <c r="B69" s="65" t="s">
        <v>298</v>
      </c>
      <c r="C69" s="52">
        <f>SUM(C70:C73)</f>
        <v>0</v>
      </c>
      <c r="D69" s="53">
        <f>SUM(D70:D73)</f>
        <v>0</v>
      </c>
    </row>
    <row r="70" spans="1:4" s="62" customFormat="1" ht="12" customHeight="1">
      <c r="A70" s="54" t="s">
        <v>299</v>
      </c>
      <c r="B70" s="55" t="s">
        <v>300</v>
      </c>
      <c r="C70" s="56"/>
      <c r="D70" s="74"/>
    </row>
    <row r="71" spans="1:4" s="62" customFormat="1" ht="12" customHeight="1">
      <c r="A71" s="59" t="s">
        <v>301</v>
      </c>
      <c r="B71" s="60" t="s">
        <v>302</v>
      </c>
      <c r="C71" s="56"/>
      <c r="D71" s="74"/>
    </row>
    <row r="72" spans="1:4" s="62" customFormat="1" ht="12" customHeight="1">
      <c r="A72" s="59" t="s">
        <v>303</v>
      </c>
      <c r="B72" s="60" t="s">
        <v>304</v>
      </c>
      <c r="C72" s="56"/>
      <c r="D72" s="74"/>
    </row>
    <row r="73" spans="1:4" s="62" customFormat="1" ht="12" customHeight="1" thickBot="1">
      <c r="A73" s="80" t="s">
        <v>305</v>
      </c>
      <c r="B73" s="81" t="s">
        <v>306</v>
      </c>
      <c r="C73" s="56"/>
      <c r="D73" s="82"/>
    </row>
    <row r="74" spans="1:4" s="62" customFormat="1" ht="12" customHeight="1" thickBot="1">
      <c r="A74" s="78" t="s">
        <v>307</v>
      </c>
      <c r="B74" s="65" t="s">
        <v>308</v>
      </c>
      <c r="C74" s="52">
        <f>SUM(C75:C76)</f>
        <v>0</v>
      </c>
      <c r="D74" s="53">
        <f>SUM(D75:D76)</f>
        <v>0</v>
      </c>
    </row>
    <row r="75" spans="1:4" s="62" customFormat="1" ht="12" customHeight="1">
      <c r="A75" s="54" t="s">
        <v>309</v>
      </c>
      <c r="B75" s="55" t="s">
        <v>310</v>
      </c>
      <c r="C75" s="56"/>
      <c r="D75" s="74"/>
    </row>
    <row r="76" spans="1:4" s="62" customFormat="1" ht="12" customHeight="1" thickBot="1">
      <c r="A76" s="63" t="s">
        <v>311</v>
      </c>
      <c r="B76" s="64" t="s">
        <v>312</v>
      </c>
      <c r="C76" s="56"/>
      <c r="D76" s="74"/>
    </row>
    <row r="77" spans="1:4" s="58" customFormat="1" ht="12" customHeight="1" thickBot="1">
      <c r="A77" s="78" t="s">
        <v>313</v>
      </c>
      <c r="B77" s="65" t="s">
        <v>314</v>
      </c>
      <c r="C77" s="52">
        <f>SUM(C78:C80)</f>
        <v>0</v>
      </c>
      <c r="D77" s="53">
        <f>SUM(D78:D80)</f>
        <v>0</v>
      </c>
    </row>
    <row r="78" spans="1:4" s="62" customFormat="1" ht="12" customHeight="1">
      <c r="A78" s="54" t="s">
        <v>315</v>
      </c>
      <c r="B78" s="55" t="s">
        <v>316</v>
      </c>
      <c r="C78" s="56"/>
      <c r="D78" s="74"/>
    </row>
    <row r="79" spans="1:4" s="62" customFormat="1" ht="12" customHeight="1">
      <c r="A79" s="59" t="s">
        <v>317</v>
      </c>
      <c r="B79" s="60" t="s">
        <v>318</v>
      </c>
      <c r="C79" s="56"/>
      <c r="D79" s="74"/>
    </row>
    <row r="80" spans="1:4" s="62" customFormat="1" ht="12" customHeight="1" thickBot="1">
      <c r="A80" s="63" t="s">
        <v>319</v>
      </c>
      <c r="B80" s="64" t="s">
        <v>320</v>
      </c>
      <c r="C80" s="56"/>
      <c r="D80" s="74"/>
    </row>
    <row r="81" spans="1:4" s="62" customFormat="1" ht="12" customHeight="1" thickBot="1">
      <c r="A81" s="78" t="s">
        <v>321</v>
      </c>
      <c r="B81" s="65" t="s">
        <v>322</v>
      </c>
      <c r="C81" s="52">
        <f>SUM(C82:C85)</f>
        <v>0</v>
      </c>
      <c r="D81" s="53">
        <f>SUM(D82:D85)</f>
        <v>0</v>
      </c>
    </row>
    <row r="82" spans="1:4" s="62" customFormat="1" ht="12" customHeight="1">
      <c r="A82" s="83" t="s">
        <v>323</v>
      </c>
      <c r="B82" s="55" t="s">
        <v>324</v>
      </c>
      <c r="C82" s="56"/>
      <c r="D82" s="74"/>
    </row>
    <row r="83" spans="1:4" s="62" customFormat="1" ht="12" customHeight="1">
      <c r="A83" s="84" t="s">
        <v>325</v>
      </c>
      <c r="B83" s="60" t="s">
        <v>326</v>
      </c>
      <c r="C83" s="56"/>
      <c r="D83" s="74"/>
    </row>
    <row r="84" spans="1:4" s="62" customFormat="1" ht="12" customHeight="1">
      <c r="A84" s="84" t="s">
        <v>327</v>
      </c>
      <c r="B84" s="60" t="s">
        <v>328</v>
      </c>
      <c r="C84" s="56"/>
      <c r="D84" s="74"/>
    </row>
    <row r="85" spans="1:4" s="58" customFormat="1" ht="12" customHeight="1" thickBot="1">
      <c r="A85" s="85" t="s">
        <v>329</v>
      </c>
      <c r="B85" s="64" t="s">
        <v>330</v>
      </c>
      <c r="C85" s="56"/>
      <c r="D85" s="74"/>
    </row>
    <row r="86" spans="1:4" s="58" customFormat="1" ht="12" customHeight="1" thickBot="1">
      <c r="A86" s="78" t="s">
        <v>331</v>
      </c>
      <c r="B86" s="65" t="s">
        <v>332</v>
      </c>
      <c r="C86" s="86"/>
      <c r="D86" s="87"/>
    </row>
    <row r="87" spans="1:4" s="58" customFormat="1" ht="12" customHeight="1" thickBot="1">
      <c r="A87" s="78" t="s">
        <v>333</v>
      </c>
      <c r="B87" s="88" t="s">
        <v>334</v>
      </c>
      <c r="C87" s="69">
        <f>+C65+C69+C74+C77+C81+C86</f>
        <v>0</v>
      </c>
      <c r="D87" s="70">
        <f>+D65+D69+D74+D77+D81+D86</f>
        <v>0</v>
      </c>
    </row>
    <row r="88" spans="1:4" s="58" customFormat="1" ht="12" customHeight="1" thickBot="1">
      <c r="A88" s="89" t="s">
        <v>335</v>
      </c>
      <c r="B88" s="90" t="s">
        <v>336</v>
      </c>
      <c r="C88" s="69">
        <f>+C64+C87</f>
        <v>0</v>
      </c>
      <c r="D88" s="70">
        <f>+D64+D87</f>
        <v>0</v>
      </c>
    </row>
    <row r="89" spans="1:4" s="62" customFormat="1" ht="15" customHeight="1">
      <c r="A89" s="91"/>
      <c r="B89" s="92"/>
      <c r="C89" s="93"/>
      <c r="D89" s="93"/>
    </row>
    <row r="90" spans="1:4" ht="13.5" thickBot="1">
      <c r="A90" s="94"/>
      <c r="B90" s="95"/>
      <c r="C90" s="96"/>
      <c r="D90" s="96"/>
    </row>
    <row r="91" spans="1:4" s="49" customFormat="1" ht="16.5" customHeight="1" thickBot="1">
      <c r="A91" s="1793" t="s">
        <v>337</v>
      </c>
      <c r="B91" s="1794"/>
      <c r="C91" s="1794"/>
      <c r="D91" s="1795"/>
    </row>
    <row r="92" spans="1:4" s="101" customFormat="1" ht="12" customHeight="1" thickBot="1">
      <c r="A92" s="97" t="s">
        <v>184</v>
      </c>
      <c r="B92" s="98" t="s">
        <v>338</v>
      </c>
      <c r="C92" s="99">
        <f>SUM(C93:C97)</f>
        <v>2592000</v>
      </c>
      <c r="D92" s="100">
        <f>SUM(D93:D97)</f>
        <v>0</v>
      </c>
    </row>
    <row r="93" spans="1:4" ht="12" customHeight="1">
      <c r="A93" s="102" t="s">
        <v>186</v>
      </c>
      <c r="B93" s="103" t="s">
        <v>339</v>
      </c>
      <c r="C93" s="453"/>
      <c r="D93" s="104"/>
    </row>
    <row r="94" spans="1:4" ht="12" customHeight="1">
      <c r="A94" s="59" t="s">
        <v>188</v>
      </c>
      <c r="B94" s="105" t="s">
        <v>1</v>
      </c>
      <c r="C94" s="454"/>
      <c r="D94" s="67"/>
    </row>
    <row r="95" spans="1:4" ht="12" customHeight="1">
      <c r="A95" s="59" t="s">
        <v>190</v>
      </c>
      <c r="B95" s="105" t="s">
        <v>340</v>
      </c>
      <c r="C95" s="454"/>
      <c r="D95" s="68"/>
    </row>
    <row r="96" spans="1:4" ht="12" customHeight="1">
      <c r="A96" s="59" t="s">
        <v>192</v>
      </c>
      <c r="B96" s="106" t="s">
        <v>7</v>
      </c>
      <c r="C96" s="454"/>
      <c r="D96" s="68"/>
    </row>
    <row r="97" spans="1:4" ht="12" customHeight="1">
      <c r="A97" s="59" t="s">
        <v>341</v>
      </c>
      <c r="B97" s="107" t="s">
        <v>11</v>
      </c>
      <c r="C97" s="454">
        <f>SUM(C98:C107)</f>
        <v>2592000</v>
      </c>
      <c r="D97" s="68">
        <f>SUM(D98:D107)</f>
        <v>0</v>
      </c>
    </row>
    <row r="98" spans="1:4" ht="12" customHeight="1">
      <c r="A98" s="59" t="s">
        <v>196</v>
      </c>
      <c r="B98" s="105" t="s">
        <v>342</v>
      </c>
      <c r="C98" s="454"/>
      <c r="D98" s="68"/>
    </row>
    <row r="99" spans="1:4" ht="12" customHeight="1">
      <c r="A99" s="59" t="s">
        <v>343</v>
      </c>
      <c r="B99" s="108" t="s">
        <v>344</v>
      </c>
      <c r="C99" s="454"/>
      <c r="D99" s="68"/>
    </row>
    <row r="100" spans="1:4" ht="12" customHeight="1">
      <c r="A100" s="59" t="s">
        <v>345</v>
      </c>
      <c r="B100" s="109" t="s">
        <v>346</v>
      </c>
      <c r="C100" s="454"/>
      <c r="D100" s="68"/>
    </row>
    <row r="101" spans="1:4" ht="12" customHeight="1">
      <c r="A101" s="59" t="s">
        <v>347</v>
      </c>
      <c r="B101" s="109" t="s">
        <v>348</v>
      </c>
      <c r="C101" s="454"/>
      <c r="D101" s="68"/>
    </row>
    <row r="102" spans="1:4" ht="12" customHeight="1">
      <c r="A102" s="59" t="s">
        <v>349</v>
      </c>
      <c r="B102" s="108" t="s">
        <v>350</v>
      </c>
      <c r="C102" s="454"/>
      <c r="D102" s="68"/>
    </row>
    <row r="103" spans="1:4" ht="12" customHeight="1">
      <c r="A103" s="59" t="s">
        <v>351</v>
      </c>
      <c r="B103" s="108" t="s">
        <v>352</v>
      </c>
      <c r="C103" s="454"/>
      <c r="D103" s="68"/>
    </row>
    <row r="104" spans="1:4" ht="12" customHeight="1">
      <c r="A104" s="59" t="s">
        <v>353</v>
      </c>
      <c r="B104" s="109" t="s">
        <v>354</v>
      </c>
      <c r="C104" s="454"/>
      <c r="D104" s="68"/>
    </row>
    <row r="105" spans="1:4" ht="12" customHeight="1">
      <c r="A105" s="110" t="s">
        <v>355</v>
      </c>
      <c r="B105" s="111" t="s">
        <v>356</v>
      </c>
      <c r="C105" s="454"/>
      <c r="D105" s="68"/>
    </row>
    <row r="106" spans="1:4" ht="12" customHeight="1">
      <c r="A106" s="59" t="s">
        <v>357</v>
      </c>
      <c r="B106" s="111" t="s">
        <v>358</v>
      </c>
      <c r="C106" s="454"/>
      <c r="D106" s="68"/>
    </row>
    <row r="107" spans="1:4" ht="12" customHeight="1" thickBot="1">
      <c r="A107" s="80" t="s">
        <v>359</v>
      </c>
      <c r="B107" s="112" t="s">
        <v>360</v>
      </c>
      <c r="C107" s="596">
        <v>2592000</v>
      </c>
      <c r="D107" s="113"/>
    </row>
    <row r="108" spans="1:4" ht="12" customHeight="1" thickBot="1">
      <c r="A108" s="50" t="s">
        <v>198</v>
      </c>
      <c r="B108" s="114" t="s">
        <v>361</v>
      </c>
      <c r="C108" s="52">
        <f>+C109+C111+C113</f>
        <v>0</v>
      </c>
      <c r="D108" s="53">
        <f>+D109+D111+D113</f>
        <v>0</v>
      </c>
    </row>
    <row r="109" spans="1:4" ht="12" customHeight="1">
      <c r="A109" s="54" t="s">
        <v>200</v>
      </c>
      <c r="B109" s="105" t="s">
        <v>3</v>
      </c>
      <c r="C109" s="453"/>
      <c r="D109" s="66"/>
    </row>
    <row r="110" spans="1:4" ht="12" customHeight="1">
      <c r="A110" s="54" t="s">
        <v>202</v>
      </c>
      <c r="B110" s="115" t="s">
        <v>362</v>
      </c>
      <c r="C110" s="454"/>
      <c r="D110" s="66"/>
    </row>
    <row r="111" spans="1:4" ht="12" customHeight="1">
      <c r="A111" s="54" t="s">
        <v>204</v>
      </c>
      <c r="B111" s="115" t="s">
        <v>8</v>
      </c>
      <c r="C111" s="454"/>
      <c r="D111" s="67"/>
    </row>
    <row r="112" spans="1:4" ht="12" customHeight="1">
      <c r="A112" s="54" t="s">
        <v>206</v>
      </c>
      <c r="B112" s="115" t="s">
        <v>363</v>
      </c>
      <c r="C112" s="454"/>
      <c r="D112" s="67"/>
    </row>
    <row r="113" spans="1:4" ht="12" customHeight="1">
      <c r="A113" s="54" t="s">
        <v>208</v>
      </c>
      <c r="B113" s="116" t="s">
        <v>364</v>
      </c>
      <c r="C113" s="454">
        <f>SUM(C114:C121)</f>
        <v>0</v>
      </c>
      <c r="D113" s="67">
        <f>SUM(D114:D121)</f>
        <v>0</v>
      </c>
    </row>
    <row r="114" spans="1:4" ht="12" customHeight="1">
      <c r="A114" s="54" t="s">
        <v>210</v>
      </c>
      <c r="B114" s="117" t="s">
        <v>365</v>
      </c>
      <c r="C114" s="454"/>
      <c r="D114" s="67"/>
    </row>
    <row r="115" spans="1:4" ht="12" customHeight="1">
      <c r="A115" s="54" t="s">
        <v>366</v>
      </c>
      <c r="B115" s="118" t="s">
        <v>367</v>
      </c>
      <c r="C115" s="454"/>
      <c r="D115" s="67"/>
    </row>
    <row r="116" spans="1:4" ht="12" customHeight="1">
      <c r="A116" s="54" t="s">
        <v>368</v>
      </c>
      <c r="B116" s="109" t="s">
        <v>348</v>
      </c>
      <c r="C116" s="454"/>
      <c r="D116" s="67"/>
    </row>
    <row r="117" spans="1:4" ht="12" customHeight="1">
      <c r="A117" s="54" t="s">
        <v>369</v>
      </c>
      <c r="B117" s="109" t="s">
        <v>370</v>
      </c>
      <c r="C117" s="454"/>
      <c r="D117" s="67"/>
    </row>
    <row r="118" spans="1:4" ht="12" customHeight="1">
      <c r="A118" s="54" t="s">
        <v>371</v>
      </c>
      <c r="B118" s="109" t="s">
        <v>372</v>
      </c>
      <c r="C118" s="454"/>
      <c r="D118" s="67"/>
    </row>
    <row r="119" spans="1:4" ht="12" customHeight="1">
      <c r="A119" s="54" t="s">
        <v>373</v>
      </c>
      <c r="B119" s="109" t="s">
        <v>354</v>
      </c>
      <c r="C119" s="454"/>
      <c r="D119" s="67"/>
    </row>
    <row r="120" spans="1:4" ht="12" customHeight="1">
      <c r="A120" s="54" t="s">
        <v>374</v>
      </c>
      <c r="B120" s="109" t="s">
        <v>375</v>
      </c>
      <c r="C120" s="454"/>
      <c r="D120" s="67"/>
    </row>
    <row r="121" spans="1:4" ht="12" customHeight="1" thickBot="1">
      <c r="A121" s="110" t="s">
        <v>376</v>
      </c>
      <c r="B121" s="109" t="s">
        <v>377</v>
      </c>
      <c r="C121" s="596"/>
      <c r="D121" s="68"/>
    </row>
    <row r="122" spans="1:4" ht="12" customHeight="1" thickBot="1">
      <c r="A122" s="50" t="s">
        <v>212</v>
      </c>
      <c r="B122" s="119" t="s">
        <v>378</v>
      </c>
      <c r="C122" s="52">
        <f>+C123+C124</f>
        <v>0</v>
      </c>
      <c r="D122" s="53">
        <f>+D123+D124</f>
        <v>0</v>
      </c>
    </row>
    <row r="123" spans="1:4" ht="12" customHeight="1">
      <c r="A123" s="54" t="s">
        <v>214</v>
      </c>
      <c r="B123" s="120" t="s">
        <v>379</v>
      </c>
      <c r="C123" s="455"/>
      <c r="D123" s="66"/>
    </row>
    <row r="124" spans="1:4" ht="12" customHeight="1" thickBot="1">
      <c r="A124" s="63" t="s">
        <v>216</v>
      </c>
      <c r="B124" s="115" t="s">
        <v>380</v>
      </c>
      <c r="C124" s="596"/>
      <c r="D124" s="68"/>
    </row>
    <row r="125" spans="1:4" ht="12" customHeight="1" thickBot="1">
      <c r="A125" s="50" t="s">
        <v>381</v>
      </c>
      <c r="B125" s="119" t="s">
        <v>382</v>
      </c>
      <c r="C125" s="52">
        <f>+C92+C108+C122</f>
        <v>2592000</v>
      </c>
      <c r="D125" s="53">
        <f>+D92+D108+D122</f>
        <v>0</v>
      </c>
    </row>
    <row r="126" spans="1:4" ht="12" customHeight="1" thickBot="1">
      <c r="A126" s="50" t="s">
        <v>233</v>
      </c>
      <c r="B126" s="119" t="s">
        <v>383</v>
      </c>
      <c r="C126" s="52">
        <f>+C127+C128+C129</f>
        <v>0</v>
      </c>
      <c r="D126" s="53">
        <f>+D127+D128+D129</f>
        <v>0</v>
      </c>
    </row>
    <row r="127" spans="1:4" s="101" customFormat="1" ht="12" customHeight="1">
      <c r="A127" s="54" t="s">
        <v>235</v>
      </c>
      <c r="B127" s="120" t="s">
        <v>384</v>
      </c>
      <c r="C127" s="453"/>
      <c r="D127" s="67"/>
    </row>
    <row r="128" spans="1:4" ht="12" customHeight="1">
      <c r="A128" s="54" t="s">
        <v>237</v>
      </c>
      <c r="B128" s="120" t="s">
        <v>385</v>
      </c>
      <c r="C128" s="454"/>
      <c r="D128" s="67"/>
    </row>
    <row r="129" spans="1:11" ht="12" customHeight="1" thickBot="1">
      <c r="A129" s="110" t="s">
        <v>239</v>
      </c>
      <c r="B129" s="121" t="s">
        <v>386</v>
      </c>
      <c r="C129" s="596"/>
      <c r="D129" s="67"/>
    </row>
    <row r="130" spans="1:11" ht="12" customHeight="1" thickBot="1">
      <c r="A130" s="50" t="s">
        <v>255</v>
      </c>
      <c r="B130" s="119" t="s">
        <v>387</v>
      </c>
      <c r="C130" s="52">
        <f>+C131+C132+C133+C134</f>
        <v>0</v>
      </c>
      <c r="D130" s="53">
        <f>+D131+D132+D133+D134</f>
        <v>0</v>
      </c>
    </row>
    <row r="131" spans="1:11" ht="12" customHeight="1">
      <c r="A131" s="54" t="s">
        <v>257</v>
      </c>
      <c r="B131" s="120" t="s">
        <v>388</v>
      </c>
      <c r="C131" s="454"/>
      <c r="D131" s="67"/>
    </row>
    <row r="132" spans="1:11" ht="12" customHeight="1">
      <c r="A132" s="54" t="s">
        <v>259</v>
      </c>
      <c r="B132" s="120" t="s">
        <v>389</v>
      </c>
      <c r="C132" s="454"/>
      <c r="D132" s="67"/>
    </row>
    <row r="133" spans="1:11" ht="12" customHeight="1">
      <c r="A133" s="54" t="s">
        <v>261</v>
      </c>
      <c r="B133" s="120" t="s">
        <v>390</v>
      </c>
      <c r="C133" s="454"/>
      <c r="D133" s="67"/>
    </row>
    <row r="134" spans="1:11" s="101" customFormat="1" ht="12" customHeight="1" thickBot="1">
      <c r="A134" s="110" t="s">
        <v>263</v>
      </c>
      <c r="B134" s="121" t="s">
        <v>391</v>
      </c>
      <c r="C134" s="454"/>
      <c r="D134" s="67"/>
    </row>
    <row r="135" spans="1:11" ht="12" customHeight="1" thickBot="1">
      <c r="A135" s="50" t="s">
        <v>392</v>
      </c>
      <c r="B135" s="119" t="s">
        <v>393</v>
      </c>
      <c r="C135" s="69">
        <f>+C136+C137+C138+C139</f>
        <v>0</v>
      </c>
      <c r="D135" s="70">
        <f>+D136+D137+D138+D139</f>
        <v>0</v>
      </c>
      <c r="K135" s="122"/>
    </row>
    <row r="136" spans="1:11">
      <c r="A136" s="54" t="s">
        <v>269</v>
      </c>
      <c r="B136" s="120" t="s">
        <v>394</v>
      </c>
      <c r="C136" s="456"/>
      <c r="D136" s="67"/>
    </row>
    <row r="137" spans="1:11" ht="12" customHeight="1">
      <c r="A137" s="54" t="s">
        <v>271</v>
      </c>
      <c r="B137" s="120" t="s">
        <v>395</v>
      </c>
      <c r="C137" s="454"/>
      <c r="D137" s="67"/>
    </row>
    <row r="138" spans="1:11" s="101" customFormat="1" ht="12" customHeight="1">
      <c r="A138" s="54" t="s">
        <v>273</v>
      </c>
      <c r="B138" s="120" t="s">
        <v>396</v>
      </c>
      <c r="C138" s="454"/>
      <c r="D138" s="67"/>
    </row>
    <row r="139" spans="1:11" s="101" customFormat="1" ht="12" customHeight="1" thickBot="1">
      <c r="A139" s="110" t="s">
        <v>275</v>
      </c>
      <c r="B139" s="121" t="s">
        <v>397</v>
      </c>
      <c r="C139" s="454"/>
      <c r="D139" s="67"/>
    </row>
    <row r="140" spans="1:11" s="101" customFormat="1" ht="12" customHeight="1" thickBot="1">
      <c r="A140" s="50" t="s">
        <v>277</v>
      </c>
      <c r="B140" s="119" t="s">
        <v>398</v>
      </c>
      <c r="C140" s="123">
        <f>+C141+C142+C143+C144</f>
        <v>0</v>
      </c>
      <c r="D140" s="124">
        <f>+D141+D142+D143+D144</f>
        <v>0</v>
      </c>
    </row>
    <row r="141" spans="1:11" s="101" customFormat="1" ht="12" customHeight="1">
      <c r="A141" s="54" t="s">
        <v>279</v>
      </c>
      <c r="B141" s="120" t="s">
        <v>399</v>
      </c>
      <c r="C141" s="454"/>
      <c r="D141" s="67"/>
    </row>
    <row r="142" spans="1:11" s="101" customFormat="1" ht="12" customHeight="1">
      <c r="A142" s="54" t="s">
        <v>281</v>
      </c>
      <c r="B142" s="120" t="s">
        <v>400</v>
      </c>
      <c r="C142" s="454"/>
      <c r="D142" s="67"/>
    </row>
    <row r="143" spans="1:11" s="101" customFormat="1" ht="12" customHeight="1">
      <c r="A143" s="54" t="s">
        <v>283</v>
      </c>
      <c r="B143" s="120" t="s">
        <v>401</v>
      </c>
      <c r="C143" s="454"/>
      <c r="D143" s="67"/>
    </row>
    <row r="144" spans="1:11" ht="12.75" customHeight="1" thickBot="1">
      <c r="A144" s="54" t="s">
        <v>285</v>
      </c>
      <c r="B144" s="120" t="s">
        <v>402</v>
      </c>
      <c r="C144" s="454"/>
      <c r="D144" s="67"/>
    </row>
    <row r="145" spans="1:5" ht="12" customHeight="1" thickBot="1">
      <c r="A145" s="50" t="s">
        <v>287</v>
      </c>
      <c r="B145" s="119" t="s">
        <v>403</v>
      </c>
      <c r="C145" s="125">
        <f>+C126+C130+C135+C140</f>
        <v>0</v>
      </c>
      <c r="D145" s="126">
        <f>+D126+D130+D135+D140</f>
        <v>0</v>
      </c>
    </row>
    <row r="146" spans="1:5" ht="15" customHeight="1" thickBot="1">
      <c r="A146" s="127" t="s">
        <v>404</v>
      </c>
      <c r="B146" s="128" t="s">
        <v>405</v>
      </c>
      <c r="C146" s="125">
        <f>+C125+C145</f>
        <v>2592000</v>
      </c>
      <c r="D146" s="126">
        <f>+D125+D145</f>
        <v>0</v>
      </c>
    </row>
    <row r="148" spans="1:5" s="130" customFormat="1" ht="15.75">
      <c r="A148" s="1807" t="s">
        <v>406</v>
      </c>
      <c r="B148" s="1807"/>
      <c r="C148" s="1807"/>
      <c r="D148" s="129"/>
      <c r="E148" s="129"/>
    </row>
    <row r="149" spans="1:5" s="130" customFormat="1" ht="15" customHeight="1" thickBot="1">
      <c r="A149" s="1808"/>
      <c r="B149" s="1808"/>
      <c r="C149" s="1809" t="s">
        <v>647</v>
      </c>
      <c r="D149" s="1809"/>
      <c r="E149" s="129"/>
    </row>
    <row r="150" spans="1:5" s="130" customFormat="1" ht="24.95" customHeight="1" thickBot="1">
      <c r="A150" s="131">
        <v>1</v>
      </c>
      <c r="B150" s="132" t="s">
        <v>407</v>
      </c>
      <c r="C150" s="133">
        <f>C64-C125</f>
        <v>-2592000</v>
      </c>
      <c r="D150" s="77">
        <f>D64-D125</f>
        <v>0</v>
      </c>
      <c r="E150" s="134">
        <f>+E63-E125</f>
        <v>0</v>
      </c>
    </row>
    <row r="151" spans="1:5" s="130" customFormat="1" ht="27.75" customHeight="1" thickBot="1">
      <c r="A151" s="131" t="s">
        <v>198</v>
      </c>
      <c r="B151" s="132" t="s">
        <v>408</v>
      </c>
      <c r="C151" s="133">
        <f>C87-C145</f>
        <v>0</v>
      </c>
      <c r="D151" s="77">
        <f>D87-D145</f>
        <v>0</v>
      </c>
      <c r="E151" s="134">
        <f>+E86-E145</f>
        <v>0</v>
      </c>
    </row>
  </sheetData>
  <sheetProtection selectLockedCells="1" selectUnlockedCells="1"/>
  <mergeCells count="9">
    <mergeCell ref="A148:C148"/>
    <mergeCell ref="A149:B149"/>
    <mergeCell ref="C149:D149"/>
    <mergeCell ref="A1:D1"/>
    <mergeCell ref="C2:D2"/>
    <mergeCell ref="C3:D3"/>
    <mergeCell ref="C4:D4"/>
    <mergeCell ref="A7:D7"/>
    <mergeCell ref="A91:D9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  <rowBreaks count="2" manualBreakCount="2">
    <brk id="69" max="3" man="1"/>
    <brk id="8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G31"/>
  <sheetViews>
    <sheetView view="pageBreakPreview" topLeftCell="A4" zoomScaleNormal="100" zoomScaleSheetLayoutView="100" workbookViewId="0">
      <selection activeCell="F12" sqref="F12"/>
    </sheetView>
  </sheetViews>
  <sheetFormatPr defaultColWidth="9.140625" defaultRowHeight="12.75"/>
  <cols>
    <col min="1" max="1" width="5.85546875" style="138" customWidth="1"/>
    <col min="2" max="2" width="45.28515625" style="142" customWidth="1"/>
    <col min="3" max="3" width="12.7109375" style="138" customWidth="1"/>
    <col min="4" max="4" width="12.28515625" style="138" customWidth="1"/>
    <col min="5" max="5" width="46.7109375" style="138" customWidth="1"/>
    <col min="6" max="7" width="11.85546875" style="138" customWidth="1"/>
    <col min="8" max="8" width="9.140625" style="141"/>
    <col min="9" max="9" width="43.7109375" style="141" customWidth="1"/>
    <col min="10" max="16384" width="9.140625" style="141"/>
  </cols>
  <sheetData>
    <row r="1" spans="1:7" ht="39.75" customHeight="1">
      <c r="B1" s="139" t="s">
        <v>409</v>
      </c>
      <c r="C1" s="140"/>
      <c r="D1" s="140"/>
      <c r="E1" s="140"/>
      <c r="F1" s="140"/>
      <c r="G1" s="140"/>
    </row>
    <row r="2" spans="1:7" ht="14.25" thickBot="1">
      <c r="F2" s="1821" t="s">
        <v>648</v>
      </c>
      <c r="G2" s="1821"/>
    </row>
    <row r="3" spans="1:7" ht="18" customHeight="1" thickBot="1">
      <c r="A3" s="1822" t="s">
        <v>410</v>
      </c>
      <c r="B3" s="143" t="s">
        <v>183</v>
      </c>
      <c r="C3" s="144"/>
      <c r="D3" s="145"/>
      <c r="E3" s="143" t="s">
        <v>337</v>
      </c>
      <c r="F3" s="146"/>
      <c r="G3" s="146"/>
    </row>
    <row r="4" spans="1:7" s="149" customFormat="1" ht="35.25" customHeight="1" thickBot="1">
      <c r="A4" s="1823"/>
      <c r="B4" s="147" t="s">
        <v>176</v>
      </c>
      <c r="C4" s="148" t="s">
        <v>802</v>
      </c>
      <c r="D4" s="148" t="s">
        <v>772</v>
      </c>
      <c r="E4" s="147" t="s">
        <v>176</v>
      </c>
      <c r="F4" s="148" t="s">
        <v>802</v>
      </c>
      <c r="G4" s="148" t="s">
        <v>772</v>
      </c>
    </row>
    <row r="5" spans="1:7" s="155" customFormat="1" ht="12" customHeight="1" thickBot="1">
      <c r="A5" s="150">
        <v>1</v>
      </c>
      <c r="B5" s="151">
        <v>2</v>
      </c>
      <c r="C5" s="152" t="s">
        <v>212</v>
      </c>
      <c r="D5" s="152" t="s">
        <v>381</v>
      </c>
      <c r="E5" s="151" t="s">
        <v>233</v>
      </c>
      <c r="F5" s="153" t="s">
        <v>255</v>
      </c>
      <c r="G5" s="154" t="s">
        <v>392</v>
      </c>
    </row>
    <row r="6" spans="1:7" ht="12.95" customHeight="1">
      <c r="A6" s="156" t="s">
        <v>184</v>
      </c>
      <c r="B6" s="157" t="s">
        <v>411</v>
      </c>
      <c r="C6" s="158">
        <f>'1.1 Összesítő'!C8</f>
        <v>89841283</v>
      </c>
      <c r="D6" s="158"/>
      <c r="E6" s="157" t="s">
        <v>0</v>
      </c>
      <c r="F6" s="597">
        <f>'1.1 Összesítő'!C93</f>
        <v>59360220</v>
      </c>
      <c r="G6" s="160"/>
    </row>
    <row r="7" spans="1:7" ht="12.95" customHeight="1">
      <c r="A7" s="161" t="s">
        <v>198</v>
      </c>
      <c r="B7" s="162" t="s">
        <v>412</v>
      </c>
      <c r="C7" s="163">
        <f>'1.1 Összesítő'!C15</f>
        <v>25243825.150000002</v>
      </c>
      <c r="D7" s="163"/>
      <c r="E7" s="162" t="s">
        <v>1</v>
      </c>
      <c r="F7" s="163">
        <f>'1.1 Összesítő'!C94</f>
        <v>10406476</v>
      </c>
      <c r="G7" s="165"/>
    </row>
    <row r="8" spans="1:7" ht="12.95" customHeight="1">
      <c r="A8" s="161" t="s">
        <v>212</v>
      </c>
      <c r="B8" s="162" t="s">
        <v>413</v>
      </c>
      <c r="C8" s="163">
        <f>'1.1 Összesítő'!C21</f>
        <v>0</v>
      </c>
      <c r="D8" s="163"/>
      <c r="E8" s="162" t="s">
        <v>414</v>
      </c>
      <c r="F8" s="163">
        <f>'1.1 Összesítő'!C95</f>
        <v>68962029.650000006</v>
      </c>
      <c r="G8" s="165"/>
    </row>
    <row r="9" spans="1:7" ht="12.95" customHeight="1">
      <c r="A9" s="161" t="s">
        <v>381</v>
      </c>
      <c r="B9" s="162" t="s">
        <v>5</v>
      </c>
      <c r="C9" s="163">
        <f>'1.1 Összesítő'!C29</f>
        <v>18830000</v>
      </c>
      <c r="D9" s="163"/>
      <c r="E9" s="162" t="s">
        <v>7</v>
      </c>
      <c r="F9" s="163">
        <f>'1.1 Összesítő'!C96</f>
        <v>2850000</v>
      </c>
      <c r="G9" s="165"/>
    </row>
    <row r="10" spans="1:7" ht="12.95" customHeight="1">
      <c r="A10" s="161" t="s">
        <v>233</v>
      </c>
      <c r="B10" s="162" t="s">
        <v>4</v>
      </c>
      <c r="C10" s="163">
        <f>'1.1 Összesítő'!C37</f>
        <v>19133486.52</v>
      </c>
      <c r="D10" s="163"/>
      <c r="E10" s="162" t="s">
        <v>11</v>
      </c>
      <c r="F10" s="163">
        <f>'1.1 Összesítő'!C97</f>
        <v>4764300</v>
      </c>
      <c r="G10" s="165"/>
    </row>
    <row r="11" spans="1:7" ht="12.95" customHeight="1">
      <c r="A11" s="161" t="s">
        <v>255</v>
      </c>
      <c r="B11" s="166" t="s">
        <v>415</v>
      </c>
      <c r="C11" s="164">
        <f>'1.1 Összesítő'!C54</f>
        <v>300000</v>
      </c>
      <c r="D11" s="164"/>
      <c r="E11" s="162" t="s">
        <v>417</v>
      </c>
      <c r="F11" s="164">
        <f>'1.1 Összesítő'!C123</f>
        <v>3690000</v>
      </c>
      <c r="G11" s="165"/>
    </row>
    <row r="12" spans="1:7" ht="12.95" customHeight="1">
      <c r="A12" s="161" t="s">
        <v>392</v>
      </c>
      <c r="B12" s="162" t="s">
        <v>416</v>
      </c>
      <c r="C12" s="163"/>
      <c r="D12" s="163"/>
      <c r="E12" s="167"/>
      <c r="F12" s="164"/>
      <c r="G12" s="165"/>
    </row>
    <row r="13" spans="1:7" ht="12.95" customHeight="1">
      <c r="A13" s="161" t="s">
        <v>277</v>
      </c>
      <c r="B13" s="162" t="s">
        <v>254</v>
      </c>
      <c r="C13" s="163"/>
      <c r="D13" s="163"/>
      <c r="E13" s="167"/>
      <c r="F13" s="164"/>
      <c r="G13" s="165"/>
    </row>
    <row r="14" spans="1:7" ht="12.95" customHeight="1">
      <c r="A14" s="161" t="s">
        <v>287</v>
      </c>
      <c r="B14" s="168"/>
      <c r="C14" s="164"/>
      <c r="D14" s="164"/>
      <c r="E14" s="167"/>
      <c r="F14" s="164"/>
      <c r="G14" s="165"/>
    </row>
    <row r="15" spans="1:7" ht="12.95" customHeight="1">
      <c r="A15" s="161" t="s">
        <v>404</v>
      </c>
      <c r="B15" s="167"/>
      <c r="C15" s="163"/>
      <c r="D15" s="163"/>
      <c r="E15" s="167"/>
      <c r="F15" s="164"/>
      <c r="G15" s="165"/>
    </row>
    <row r="16" spans="1:7" ht="12.95" customHeight="1">
      <c r="A16" s="161" t="s">
        <v>418</v>
      </c>
      <c r="B16" s="167"/>
      <c r="C16" s="163"/>
      <c r="D16" s="163"/>
      <c r="E16" s="167"/>
      <c r="F16" s="164"/>
      <c r="G16" s="165"/>
    </row>
    <row r="17" spans="1:7" ht="12.95" customHeight="1" thickBot="1">
      <c r="A17" s="161" t="s">
        <v>419</v>
      </c>
      <c r="B17" s="169"/>
      <c r="C17" s="170"/>
      <c r="D17" s="170"/>
      <c r="E17" s="167"/>
      <c r="F17" s="171"/>
      <c r="G17" s="172"/>
    </row>
    <row r="18" spans="1:7" ht="15.95" customHeight="1" thickBot="1">
      <c r="A18" s="173" t="s">
        <v>420</v>
      </c>
      <c r="B18" s="174" t="s">
        <v>421</v>
      </c>
      <c r="C18" s="175">
        <f>+C6+C7+C9+C10+C12+C13+C14+C15+C16+C17+C11</f>
        <v>153348594.67000002</v>
      </c>
      <c r="D18" s="175">
        <f>+D6+D7+D9+D10+D12+D13+D14+D15+D16+D17</f>
        <v>0</v>
      </c>
      <c r="E18" s="174" t="s">
        <v>422</v>
      </c>
      <c r="F18" s="176">
        <f>SUM(F6:F17)</f>
        <v>150033025.65000001</v>
      </c>
      <c r="G18" s="177">
        <f>SUM(G6:G17)</f>
        <v>0</v>
      </c>
    </row>
    <row r="19" spans="1:7" ht="12.95" customHeight="1">
      <c r="A19" s="178" t="s">
        <v>423</v>
      </c>
      <c r="B19" s="179" t="s">
        <v>424</v>
      </c>
      <c r="C19" s="180">
        <f>SUM(C20:C23)</f>
        <v>3593651</v>
      </c>
      <c r="D19" s="180">
        <f>SUM(D20:D23)</f>
        <v>0</v>
      </c>
      <c r="E19" s="181" t="s">
        <v>425</v>
      </c>
      <c r="F19" s="182"/>
      <c r="G19" s="183"/>
    </row>
    <row r="20" spans="1:7" ht="12.95" customHeight="1">
      <c r="A20" s="184" t="s">
        <v>426</v>
      </c>
      <c r="B20" s="181" t="s">
        <v>427</v>
      </c>
      <c r="C20" s="185">
        <v>3593651</v>
      </c>
      <c r="D20" s="185"/>
      <c r="E20" s="181" t="s">
        <v>428</v>
      </c>
      <c r="F20" s="186"/>
      <c r="G20" s="187"/>
    </row>
    <row r="21" spans="1:7" ht="12.95" customHeight="1">
      <c r="A21" s="184" t="s">
        <v>429</v>
      </c>
      <c r="B21" s="181" t="s">
        <v>430</v>
      </c>
      <c r="C21" s="185"/>
      <c r="D21" s="185"/>
      <c r="E21" s="181" t="s">
        <v>431</v>
      </c>
      <c r="F21" s="186"/>
      <c r="G21" s="187"/>
    </row>
    <row r="22" spans="1:7" ht="12.95" customHeight="1">
      <c r="A22" s="184" t="s">
        <v>432</v>
      </c>
      <c r="B22" s="181" t="s">
        <v>433</v>
      </c>
      <c r="C22" s="185"/>
      <c r="D22" s="185"/>
      <c r="E22" s="181" t="s">
        <v>434</v>
      </c>
      <c r="F22" s="186"/>
      <c r="G22" s="187"/>
    </row>
    <row r="23" spans="1:7" ht="12.95" customHeight="1">
      <c r="A23" s="184" t="s">
        <v>435</v>
      </c>
      <c r="B23" s="181" t="s">
        <v>436</v>
      </c>
      <c r="C23" s="185"/>
      <c r="D23" s="185"/>
      <c r="E23" s="179" t="s">
        <v>437</v>
      </c>
      <c r="F23" s="186"/>
      <c r="G23" s="187"/>
    </row>
    <row r="24" spans="1:7" ht="12.95" customHeight="1">
      <c r="A24" s="184" t="s">
        <v>438</v>
      </c>
      <c r="B24" s="181" t="s">
        <v>439</v>
      </c>
      <c r="C24" s="188"/>
      <c r="D24" s="188"/>
      <c r="E24" s="181" t="s">
        <v>440</v>
      </c>
      <c r="F24" s="186"/>
      <c r="G24" s="187"/>
    </row>
    <row r="25" spans="1:7" ht="12.95" customHeight="1">
      <c r="A25" s="178" t="s">
        <v>441</v>
      </c>
      <c r="B25" s="179" t="s">
        <v>442</v>
      </c>
      <c r="C25" s="189"/>
      <c r="D25" s="189"/>
      <c r="E25" s="157" t="s">
        <v>443</v>
      </c>
      <c r="F25" s="182"/>
      <c r="G25" s="183"/>
    </row>
    <row r="26" spans="1:7" ht="12.95" customHeight="1" thickBot="1">
      <c r="A26" s="184" t="s">
        <v>444</v>
      </c>
      <c r="B26" s="181" t="s">
        <v>445</v>
      </c>
      <c r="C26" s="185"/>
      <c r="D26" s="185"/>
      <c r="E26" s="167" t="s">
        <v>553</v>
      </c>
      <c r="F26" s="186">
        <f>'1.1 Összesítő'!C137</f>
        <v>3593651</v>
      </c>
      <c r="G26" s="187"/>
    </row>
    <row r="27" spans="1:7" ht="20.100000000000001" customHeight="1" thickBot="1">
      <c r="A27" s="173" t="s">
        <v>446</v>
      </c>
      <c r="B27" s="174" t="s">
        <v>447</v>
      </c>
      <c r="C27" s="175">
        <f>+C19+C24</f>
        <v>3593651</v>
      </c>
      <c r="D27" s="175">
        <f>+D19+D24</f>
        <v>0</v>
      </c>
      <c r="E27" s="174" t="s">
        <v>448</v>
      </c>
      <c r="F27" s="176">
        <f>SUM(F19:F26)</f>
        <v>3593651</v>
      </c>
      <c r="G27" s="177">
        <f>SUM(G19:G26)</f>
        <v>0</v>
      </c>
    </row>
    <row r="28" spans="1:7" ht="13.5" thickBot="1">
      <c r="A28" s="173" t="s">
        <v>449</v>
      </c>
      <c r="B28" s="190" t="s">
        <v>450</v>
      </c>
      <c r="C28" s="191">
        <f>+C18+C27</f>
        <v>156942245.67000002</v>
      </c>
      <c r="D28" s="192">
        <f>+D18+D27</f>
        <v>0</v>
      </c>
      <c r="E28" s="190" t="s">
        <v>451</v>
      </c>
      <c r="F28" s="191">
        <f>+F18+F27</f>
        <v>153626676.65000001</v>
      </c>
      <c r="G28" s="192">
        <f>+G18+G27</f>
        <v>0</v>
      </c>
    </row>
    <row r="29" spans="1:7" ht="13.5" thickBot="1">
      <c r="A29" s="173" t="s">
        <v>452</v>
      </c>
      <c r="B29" s="190" t="s">
        <v>453</v>
      </c>
      <c r="C29" s="191" t="str">
        <f>IF(C18-F18&lt;0,F18-C18,"-")</f>
        <v>-</v>
      </c>
      <c r="D29" s="192" t="str">
        <f>IF(D18-G18&lt;0,G18-D18,"-")</f>
        <v>-</v>
      </c>
      <c r="E29" s="190" t="s">
        <v>454</v>
      </c>
      <c r="F29" s="191">
        <f>IF(C18-F18&gt;0,C18-F18,"-")</f>
        <v>3315569.0200000107</v>
      </c>
      <c r="G29" s="192" t="str">
        <f>IF(D18-G18&gt;0,D18-G18,"-")</f>
        <v>-</v>
      </c>
    </row>
    <row r="30" spans="1:7" ht="13.5" thickBot="1">
      <c r="A30" s="173" t="s">
        <v>455</v>
      </c>
      <c r="B30" s="190" t="s">
        <v>456</v>
      </c>
      <c r="C30" s="191" t="str">
        <f>IF(C18+C19-F28&lt;0,F28-(C18+C19),"-")</f>
        <v>-</v>
      </c>
      <c r="D30" s="192" t="str">
        <f>IF(D18+D19-G28&lt;0,G28-(D18+D19),"-")</f>
        <v>-</v>
      </c>
      <c r="E30" s="190" t="s">
        <v>457</v>
      </c>
      <c r="F30" s="191">
        <f>IF(C18+C19-F28&gt;0,C18+C19-F28,"-")</f>
        <v>3315569.0200000107</v>
      </c>
      <c r="G30" s="192" t="str">
        <f>IF(D18+D19-G28&gt;0,D18+D19-G28,"-")</f>
        <v>-</v>
      </c>
    </row>
    <row r="31" spans="1:7">
      <c r="A31" s="1824"/>
      <c r="B31" s="1824"/>
      <c r="C31" s="1824"/>
      <c r="D31" s="1824"/>
      <c r="E31" s="1824"/>
      <c r="F31" s="1824"/>
      <c r="G31" s="1824"/>
    </row>
  </sheetData>
  <sheetProtection selectLockedCells="1" selectUnlockedCells="1"/>
  <mergeCells count="3">
    <mergeCell ref="F2:G2"/>
    <mergeCell ref="A3:A4"/>
    <mergeCell ref="A31:G31"/>
  </mergeCells>
  <printOptions horizontalCentered="1" verticalCentered="1"/>
  <pageMargins left="0.31496062992125984" right="0.47244094488188981" top="0.9055118110236221" bottom="0.51181102362204722" header="0.6692913385826772" footer="0.27559055118110237"/>
  <pageSetup paperSize="9" scale="89" orientation="landscape" r:id="rId1"/>
  <headerFooter alignWithMargins="0">
    <oddHeader xml:space="preserve">&amp;R&amp;"Times New Roman CE,Félkövér dőlt" 2.1. melléklet a .../2020. (I......) önkormányzati rendelethez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G34"/>
  <sheetViews>
    <sheetView view="pageBreakPreview" topLeftCell="A4" zoomScale="115" zoomScaleNormal="100" zoomScaleSheetLayoutView="115" workbookViewId="0">
      <selection activeCell="F17" sqref="F17"/>
    </sheetView>
  </sheetViews>
  <sheetFormatPr defaultColWidth="9.140625" defaultRowHeight="12.75"/>
  <cols>
    <col min="1" max="1" width="5.85546875" style="138" customWidth="1"/>
    <col min="2" max="2" width="42.140625" style="142" customWidth="1"/>
    <col min="3" max="3" width="12" style="138" customWidth="1"/>
    <col min="4" max="4" width="10.85546875" style="138" customWidth="1"/>
    <col min="5" max="5" width="39.140625" style="138" customWidth="1"/>
    <col min="6" max="6" width="11" style="138" customWidth="1"/>
    <col min="7" max="7" width="11.85546875" style="138" customWidth="1"/>
    <col min="8" max="16384" width="9.140625" style="141"/>
  </cols>
  <sheetData>
    <row r="1" spans="1:7" ht="31.5">
      <c r="B1" s="139" t="s">
        <v>458</v>
      </c>
      <c r="C1" s="140"/>
      <c r="D1" s="140"/>
      <c r="E1" s="140"/>
      <c r="F1" s="140"/>
      <c r="G1" s="140"/>
    </row>
    <row r="2" spans="1:7" ht="14.25" thickBot="1">
      <c r="F2" s="1821" t="s">
        <v>644</v>
      </c>
      <c r="G2" s="1821"/>
    </row>
    <row r="3" spans="1:7" ht="13.5" thickBot="1">
      <c r="A3" s="1825" t="s">
        <v>410</v>
      </c>
      <c r="B3" s="143" t="s">
        <v>183</v>
      </c>
      <c r="C3" s="144"/>
      <c r="D3" s="145"/>
      <c r="E3" s="143" t="s">
        <v>337</v>
      </c>
      <c r="F3" s="146"/>
      <c r="G3" s="146"/>
    </row>
    <row r="4" spans="1:7" s="149" customFormat="1" ht="36.75" thickBot="1">
      <c r="A4" s="1826"/>
      <c r="B4" s="147" t="s">
        <v>176</v>
      </c>
      <c r="C4" s="148" t="s">
        <v>802</v>
      </c>
      <c r="D4" s="148" t="s">
        <v>772</v>
      </c>
      <c r="E4" s="147" t="s">
        <v>176</v>
      </c>
      <c r="F4" s="148" t="s">
        <v>802</v>
      </c>
      <c r="G4" s="148" t="s">
        <v>772</v>
      </c>
    </row>
    <row r="5" spans="1:7" s="149" customFormat="1" ht="13.5" thickBot="1">
      <c r="A5" s="150" t="s">
        <v>184</v>
      </c>
      <c r="B5" s="151" t="s">
        <v>198</v>
      </c>
      <c r="C5" s="152" t="s">
        <v>212</v>
      </c>
      <c r="D5" s="193" t="s">
        <v>381</v>
      </c>
      <c r="E5" s="151" t="s">
        <v>233</v>
      </c>
      <c r="F5" s="153" t="s">
        <v>255</v>
      </c>
      <c r="G5" s="154" t="s">
        <v>392</v>
      </c>
    </row>
    <row r="6" spans="1:7" ht="12.95" customHeight="1">
      <c r="A6" s="156" t="s">
        <v>184</v>
      </c>
      <c r="B6" s="157" t="s">
        <v>459</v>
      </c>
      <c r="C6" s="194">
        <f>'1.1 Összesítő'!C22</f>
        <v>6181639</v>
      </c>
      <c r="D6" s="194"/>
      <c r="E6" s="157" t="s">
        <v>3</v>
      </c>
      <c r="F6" s="159">
        <f>'1.1 Összesítő'!C109</f>
        <v>29199500.109999999</v>
      </c>
      <c r="G6" s="160"/>
    </row>
    <row r="7" spans="1:7">
      <c r="A7" s="161" t="s">
        <v>198</v>
      </c>
      <c r="B7" s="162" t="s">
        <v>460</v>
      </c>
      <c r="C7" s="195"/>
      <c r="D7" s="195"/>
      <c r="E7" s="162" t="s">
        <v>461</v>
      </c>
      <c r="F7" s="164"/>
      <c r="G7" s="165"/>
    </row>
    <row r="8" spans="1:7" ht="12.95" customHeight="1">
      <c r="A8" s="161" t="s">
        <v>212</v>
      </c>
      <c r="B8" s="162" t="s">
        <v>462</v>
      </c>
      <c r="C8" s="195">
        <f>'1.1 Összesítő'!C48</f>
        <v>9300000</v>
      </c>
      <c r="D8" s="195"/>
      <c r="E8" s="162" t="s">
        <v>8</v>
      </c>
      <c r="F8" s="164">
        <f>'1.1 Összesítő'!C111</f>
        <v>63476940.289999999</v>
      </c>
      <c r="G8" s="165"/>
    </row>
    <row r="9" spans="1:7" ht="12.95" customHeight="1">
      <c r="A9" s="161" t="s">
        <v>381</v>
      </c>
      <c r="B9" s="162" t="s">
        <v>463</v>
      </c>
      <c r="C9" s="195">
        <f>'1.1 Összesítő'!C59</f>
        <v>0</v>
      </c>
      <c r="D9" s="195"/>
      <c r="E9" s="162" t="s">
        <v>464</v>
      </c>
      <c r="F9" s="164"/>
      <c r="G9" s="165"/>
    </row>
    <row r="10" spans="1:7" ht="12.75" customHeight="1">
      <c r="A10" s="161" t="s">
        <v>233</v>
      </c>
      <c r="B10" s="162" t="s">
        <v>465</v>
      </c>
      <c r="C10" s="195"/>
      <c r="D10" s="195"/>
      <c r="E10" s="162" t="s">
        <v>364</v>
      </c>
      <c r="F10" s="164">
        <f>'1.1 Összesítő'!C113</f>
        <v>750000</v>
      </c>
      <c r="G10" s="165"/>
    </row>
    <row r="11" spans="1:7" ht="12.95" customHeight="1">
      <c r="A11" s="161" t="s">
        <v>255</v>
      </c>
      <c r="B11" s="162" t="s">
        <v>466</v>
      </c>
      <c r="C11" s="164"/>
      <c r="D11" s="165"/>
      <c r="E11" s="167"/>
      <c r="F11" s="164"/>
      <c r="G11" s="165"/>
    </row>
    <row r="12" spans="1:7" ht="12.95" customHeight="1">
      <c r="A12" s="161" t="s">
        <v>392</v>
      </c>
      <c r="B12" s="167"/>
      <c r="C12" s="164"/>
      <c r="D12" s="165"/>
      <c r="E12" s="167"/>
      <c r="F12" s="164"/>
      <c r="G12" s="165"/>
    </row>
    <row r="13" spans="1:7" ht="12.95" customHeight="1">
      <c r="A13" s="161" t="s">
        <v>277</v>
      </c>
      <c r="B13" s="167"/>
      <c r="C13" s="164"/>
      <c r="D13" s="165"/>
      <c r="E13" s="167"/>
      <c r="F13" s="164"/>
      <c r="G13" s="165"/>
    </row>
    <row r="14" spans="1:7" ht="12.95" customHeight="1">
      <c r="A14" s="161" t="s">
        <v>287</v>
      </c>
      <c r="B14" s="167"/>
      <c r="C14" s="164"/>
      <c r="D14" s="165"/>
      <c r="E14" s="167"/>
      <c r="F14" s="164"/>
      <c r="G14" s="165"/>
    </row>
    <row r="15" spans="1:7">
      <c r="A15" s="161" t="s">
        <v>404</v>
      </c>
      <c r="B15" s="167"/>
      <c r="C15" s="164"/>
      <c r="D15" s="165"/>
      <c r="E15" s="167"/>
      <c r="F15" s="164"/>
      <c r="G15" s="165"/>
    </row>
    <row r="16" spans="1:7" ht="12.95" customHeight="1" thickBot="1">
      <c r="A16" s="196" t="s">
        <v>418</v>
      </c>
      <c r="B16" s="197"/>
      <c r="C16" s="198"/>
      <c r="D16" s="199"/>
      <c r="E16" s="200" t="s">
        <v>417</v>
      </c>
      <c r="F16" s="198">
        <f>'1.1 Összesítő'!C124</f>
        <v>4072552</v>
      </c>
      <c r="G16" s="201"/>
    </row>
    <row r="17" spans="1:7" ht="15.95" customHeight="1" thickBot="1">
      <c r="A17" s="173" t="s">
        <v>419</v>
      </c>
      <c r="B17" s="174" t="s">
        <v>467</v>
      </c>
      <c r="C17" s="175">
        <f>+C6+C8+C9+C11+C12+C13+C14+C15+C16</f>
        <v>15481639</v>
      </c>
      <c r="D17" s="175">
        <f>+D6+D8+D9+D11+D12+D13+D14+D15+D16</f>
        <v>0</v>
      </c>
      <c r="E17" s="174" t="s">
        <v>468</v>
      </c>
      <c r="F17" s="176">
        <f>+F6+F8+F10+F11+F12+F13+F14+F15+F16</f>
        <v>97498992.400000006</v>
      </c>
      <c r="G17" s="177">
        <f>+G6+G8+G10+G11+G12+G13+G14+G15+G16</f>
        <v>0</v>
      </c>
    </row>
    <row r="18" spans="1:7" ht="12.95" customHeight="1">
      <c r="A18" s="156" t="s">
        <v>420</v>
      </c>
      <c r="B18" s="202" t="s">
        <v>469</v>
      </c>
      <c r="C18" s="203">
        <f>+C19+C20+C21+C22+C23</f>
        <v>79301784</v>
      </c>
      <c r="D18" s="203">
        <f>+D19+D20+D21+D22+D23</f>
        <v>0</v>
      </c>
      <c r="E18" s="181" t="s">
        <v>425</v>
      </c>
      <c r="F18" s="204"/>
      <c r="G18" s="205"/>
    </row>
    <row r="19" spans="1:7" ht="12.95" customHeight="1">
      <c r="A19" s="161" t="s">
        <v>423</v>
      </c>
      <c r="B19" s="206" t="s">
        <v>470</v>
      </c>
      <c r="C19" s="185">
        <f>'1.1 Összesítő'!C75-'2.1 Működési mérleg'!C20</f>
        <v>79301784</v>
      </c>
      <c r="D19" s="207"/>
      <c r="E19" s="181" t="s">
        <v>471</v>
      </c>
      <c r="F19" s="186">
        <f>'1.1 Összesítő'!C127</f>
        <v>600000</v>
      </c>
      <c r="G19" s="187"/>
    </row>
    <row r="20" spans="1:7" ht="12.95" customHeight="1">
      <c r="A20" s="156" t="s">
        <v>426</v>
      </c>
      <c r="B20" s="206" t="s">
        <v>472</v>
      </c>
      <c r="C20" s="185"/>
      <c r="D20" s="207"/>
      <c r="E20" s="181" t="s">
        <v>431</v>
      </c>
      <c r="F20" s="186"/>
      <c r="G20" s="187"/>
    </row>
    <row r="21" spans="1:7" ht="12.95" customHeight="1">
      <c r="A21" s="161" t="s">
        <v>429</v>
      </c>
      <c r="B21" s="206" t="s">
        <v>473</v>
      </c>
      <c r="C21" s="185">
        <f>'1.1 Összesítő'!C80</f>
        <v>0</v>
      </c>
      <c r="D21" s="207"/>
      <c r="E21" s="181" t="s">
        <v>434</v>
      </c>
      <c r="F21" s="186"/>
      <c r="G21" s="187"/>
    </row>
    <row r="22" spans="1:7" ht="12.95" customHeight="1">
      <c r="A22" s="156" t="s">
        <v>432</v>
      </c>
      <c r="B22" s="206" t="s">
        <v>474</v>
      </c>
      <c r="C22" s="185"/>
      <c r="D22" s="208"/>
      <c r="E22" s="179" t="s">
        <v>437</v>
      </c>
      <c r="F22" s="186"/>
      <c r="G22" s="187"/>
    </row>
    <row r="23" spans="1:7" ht="12.95" customHeight="1">
      <c r="A23" s="161" t="s">
        <v>435</v>
      </c>
      <c r="B23" s="209" t="s">
        <v>475</v>
      </c>
      <c r="C23" s="185"/>
      <c r="D23" s="207"/>
      <c r="E23" s="181" t="s">
        <v>476</v>
      </c>
      <c r="F23" s="186"/>
      <c r="G23" s="187"/>
    </row>
    <row r="24" spans="1:7" ht="12.95" customHeight="1">
      <c r="A24" s="156" t="s">
        <v>438</v>
      </c>
      <c r="B24" s="210" t="s">
        <v>477</v>
      </c>
      <c r="C24" s="188">
        <f>+C25+C26+C27+C28+C29</f>
        <v>0</v>
      </c>
      <c r="D24" s="188">
        <f>+D25+D26+D27+D28+D29</f>
        <v>0</v>
      </c>
      <c r="E24" s="211" t="s">
        <v>443</v>
      </c>
      <c r="F24" s="186"/>
      <c r="G24" s="187"/>
    </row>
    <row r="25" spans="1:7" ht="12.95" customHeight="1">
      <c r="A25" s="161" t="s">
        <v>441</v>
      </c>
      <c r="B25" s="209" t="s">
        <v>478</v>
      </c>
      <c r="C25" s="185"/>
      <c r="D25" s="212"/>
      <c r="E25" s="211" t="s">
        <v>479</v>
      </c>
      <c r="F25" s="186"/>
      <c r="G25" s="187"/>
    </row>
    <row r="26" spans="1:7" ht="12.95" customHeight="1">
      <c r="A26" s="156" t="s">
        <v>444</v>
      </c>
      <c r="B26" s="209" t="s">
        <v>480</v>
      </c>
      <c r="C26" s="185"/>
      <c r="D26" s="212"/>
      <c r="E26" s="213"/>
      <c r="F26" s="186"/>
      <c r="G26" s="187"/>
    </row>
    <row r="27" spans="1:7" ht="12.95" customHeight="1">
      <c r="A27" s="161" t="s">
        <v>446</v>
      </c>
      <c r="B27" s="206" t="s">
        <v>481</v>
      </c>
      <c r="C27" s="185"/>
      <c r="D27" s="212"/>
      <c r="E27" s="214"/>
      <c r="F27" s="186"/>
      <c r="G27" s="187"/>
    </row>
    <row r="28" spans="1:7" ht="12.95" customHeight="1">
      <c r="A28" s="156" t="s">
        <v>449</v>
      </c>
      <c r="B28" s="215" t="s">
        <v>482</v>
      </c>
      <c r="C28" s="185"/>
      <c r="D28" s="207"/>
      <c r="E28" s="167"/>
      <c r="F28" s="186"/>
      <c r="G28" s="187"/>
    </row>
    <row r="29" spans="1:7" ht="12.95" customHeight="1" thickBot="1">
      <c r="A29" s="161" t="s">
        <v>452</v>
      </c>
      <c r="B29" s="216" t="s">
        <v>483</v>
      </c>
      <c r="C29" s="185"/>
      <c r="D29" s="212"/>
      <c r="E29" s="214"/>
      <c r="F29" s="186"/>
      <c r="G29" s="187"/>
    </row>
    <row r="30" spans="1:7" ht="21.75" customHeight="1" thickBot="1">
      <c r="A30" s="173" t="s">
        <v>455</v>
      </c>
      <c r="B30" s="174" t="s">
        <v>484</v>
      </c>
      <c r="C30" s="175">
        <f>+C18+C24</f>
        <v>79301784</v>
      </c>
      <c r="D30" s="175">
        <f>+D18+D24</f>
        <v>0</v>
      </c>
      <c r="E30" s="174" t="s">
        <v>485</v>
      </c>
      <c r="F30" s="176">
        <f>SUM(F18:F29)</f>
        <v>600000</v>
      </c>
      <c r="G30" s="177">
        <f>SUM(G18:G29)</f>
        <v>0</v>
      </c>
    </row>
    <row r="31" spans="1:7" ht="13.5" thickBot="1">
      <c r="A31" s="173" t="s">
        <v>486</v>
      </c>
      <c r="B31" s="190" t="s">
        <v>487</v>
      </c>
      <c r="C31" s="191">
        <f>+C17+C30</f>
        <v>94783423</v>
      </c>
      <c r="D31" s="192">
        <f>+D17+D30</f>
        <v>0</v>
      </c>
      <c r="E31" s="190" t="s">
        <v>488</v>
      </c>
      <c r="F31" s="191">
        <f>+F17+F30</f>
        <v>98098992.400000006</v>
      </c>
      <c r="G31" s="192">
        <f>+G17+G30</f>
        <v>0</v>
      </c>
    </row>
    <row r="32" spans="1:7" ht="13.5" thickBot="1">
      <c r="A32" s="173" t="s">
        <v>489</v>
      </c>
      <c r="B32" s="190" t="s">
        <v>453</v>
      </c>
      <c r="C32" s="191">
        <f>IF(C17-F17&lt;0,F17-C17,"-")-F11</f>
        <v>82017353.400000006</v>
      </c>
      <c r="D32" s="192" t="str">
        <f>IF(D17-G17&lt;0,G17-D17,"-")</f>
        <v>-</v>
      </c>
      <c r="E32" s="190" t="s">
        <v>454</v>
      </c>
      <c r="F32" s="191" t="str">
        <f>IF(C17-F17&gt;0,C17-F17,"-")</f>
        <v>-</v>
      </c>
      <c r="G32" s="192" t="str">
        <f>IF(D17-G17&gt;0,D17-G17,"-")</f>
        <v>-</v>
      </c>
    </row>
    <row r="33" spans="1:7" ht="13.5" thickBot="1">
      <c r="A33" s="173" t="s">
        <v>490</v>
      </c>
      <c r="B33" s="190" t="s">
        <v>456</v>
      </c>
      <c r="C33" s="191">
        <f>IF(C17+C18-F31&lt;0,F31-(C17+C18),"-")</f>
        <v>3315569.400000006</v>
      </c>
      <c r="D33" s="192" t="str">
        <f>IF(D17+D18-G31&lt;0,G31-(D17+D18),"-")</f>
        <v>-</v>
      </c>
      <c r="E33" s="190" t="s">
        <v>457</v>
      </c>
      <c r="F33" s="191" t="str">
        <f>IF(C17+C18-F31&gt;0,C17+C18-F31,"-")</f>
        <v>-</v>
      </c>
      <c r="G33" s="192" t="str">
        <f>IF(D17+D18-G31&gt;0,D17+D18-G31,"-")</f>
        <v>-</v>
      </c>
    </row>
    <row r="34" spans="1:7">
      <c r="A34" s="217"/>
    </row>
  </sheetData>
  <sheetProtection selectLockedCells="1" selectUnlockedCells="1"/>
  <mergeCells count="2">
    <mergeCell ref="F2:G2"/>
    <mergeCell ref="A3:A4"/>
  </mergeCells>
  <printOptions horizontalCentered="1"/>
  <pageMargins left="0.78740157480314965" right="0.78740157480314965" top="0.68" bottom="0.78740157480314965" header="0.47244094488188981" footer="0.78740157480314965"/>
  <pageSetup paperSize="9" scale="93" orientation="landscape" r:id="rId1"/>
  <headerFooter alignWithMargins="0">
    <oddHeader>&amp;R&amp;"Times New Roman,Normál"2.2. melléklet a .../2020. (I.....)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G12"/>
  <sheetViews>
    <sheetView view="pageBreakPreview" zoomScale="125" zoomScaleNormal="100" zoomScaleSheetLayoutView="125" workbookViewId="0">
      <selection activeCell="E6" sqref="E6"/>
    </sheetView>
  </sheetViews>
  <sheetFormatPr defaultColWidth="9.140625" defaultRowHeight="15"/>
  <cols>
    <col min="1" max="1" width="4.85546875" style="241" customWidth="1"/>
    <col min="2" max="2" width="36" style="241" customWidth="1"/>
    <col min="3" max="3" width="14" style="241" customWidth="1"/>
    <col min="4" max="5" width="13.85546875" style="241" customWidth="1"/>
    <col min="6" max="6" width="14.28515625" style="241" customWidth="1"/>
    <col min="7" max="16384" width="9.140625" style="218"/>
  </cols>
  <sheetData>
    <row r="1" spans="1:7" ht="33" customHeight="1">
      <c r="A1" s="1828" t="s">
        <v>814</v>
      </c>
      <c r="B1" s="1828"/>
      <c r="C1" s="1828"/>
      <c r="D1" s="1828"/>
      <c r="E1" s="1828"/>
      <c r="F1" s="1828"/>
    </row>
    <row r="2" spans="1:7" ht="15.95" customHeight="1" thickBot="1">
      <c r="A2" s="219"/>
      <c r="B2" s="219"/>
      <c r="C2" s="1829"/>
      <c r="D2" s="1829"/>
      <c r="E2" s="1830" t="s">
        <v>644</v>
      </c>
      <c r="F2" s="1830"/>
      <c r="G2" s="220"/>
    </row>
    <row r="3" spans="1:7" ht="63" customHeight="1">
      <c r="A3" s="1831" t="s">
        <v>491</v>
      </c>
      <c r="B3" s="1833" t="s">
        <v>492</v>
      </c>
      <c r="C3" s="1833" t="s">
        <v>493</v>
      </c>
      <c r="D3" s="1833"/>
      <c r="E3" s="1833"/>
      <c r="F3" s="1835" t="s">
        <v>494</v>
      </c>
    </row>
    <row r="4" spans="1:7" ht="15.75" thickBot="1">
      <c r="A4" s="1832"/>
      <c r="B4" s="1834"/>
      <c r="C4" s="221" t="s">
        <v>646</v>
      </c>
      <c r="D4" s="221">
        <v>2019</v>
      </c>
      <c r="E4" s="221">
        <v>2020</v>
      </c>
      <c r="F4" s="1836"/>
    </row>
    <row r="5" spans="1:7" ht="15.75" thickBot="1">
      <c r="A5" s="222">
        <v>1</v>
      </c>
      <c r="B5" s="223">
        <v>2</v>
      </c>
      <c r="C5" s="223">
        <v>3</v>
      </c>
      <c r="D5" s="223">
        <v>4</v>
      </c>
      <c r="E5" s="223">
        <v>5</v>
      </c>
      <c r="F5" s="224">
        <v>6</v>
      </c>
    </row>
    <row r="6" spans="1:7">
      <c r="A6" s="225" t="s">
        <v>184</v>
      </c>
      <c r="B6" s="226" t="s">
        <v>645</v>
      </c>
      <c r="C6" s="1023" t="s">
        <v>659</v>
      </c>
      <c r="D6" s="1023">
        <v>1489197</v>
      </c>
      <c r="E6" s="227">
        <v>3474793</v>
      </c>
      <c r="F6" s="228">
        <f>SUM(C6:E6)</f>
        <v>4963990</v>
      </c>
    </row>
    <row r="7" spans="1:7">
      <c r="A7" s="229" t="s">
        <v>198</v>
      </c>
      <c r="B7" s="230" t="s">
        <v>658</v>
      </c>
      <c r="C7" s="1023" t="s">
        <v>659</v>
      </c>
      <c r="D7" s="1023">
        <v>3160528</v>
      </c>
      <c r="E7" s="231">
        <f>'1.1 Összesítő'!C137</f>
        <v>3593651</v>
      </c>
      <c r="F7" s="232">
        <f>SUM(C7:E7)</f>
        <v>6754179</v>
      </c>
    </row>
    <row r="8" spans="1:7">
      <c r="A8" s="229" t="s">
        <v>212</v>
      </c>
      <c r="B8" s="230"/>
      <c r="C8" s="231"/>
      <c r="D8" s="231"/>
      <c r="E8" s="231"/>
      <c r="F8" s="232">
        <f>SUM(C8:E8)</f>
        <v>0</v>
      </c>
    </row>
    <row r="9" spans="1:7">
      <c r="A9" s="229" t="s">
        <v>381</v>
      </c>
      <c r="B9" s="230"/>
      <c r="C9" s="231"/>
      <c r="D9" s="231"/>
      <c r="E9" s="231"/>
      <c r="F9" s="232">
        <f>SUM(C9:E9)</f>
        <v>0</v>
      </c>
    </row>
    <row r="10" spans="1:7" ht="15.75" thickBot="1">
      <c r="A10" s="233" t="s">
        <v>233</v>
      </c>
      <c r="B10" s="234"/>
      <c r="C10" s="235"/>
      <c r="D10" s="235"/>
      <c r="E10" s="235"/>
      <c r="F10" s="232">
        <f>SUM(C10:E10)</f>
        <v>0</v>
      </c>
    </row>
    <row r="11" spans="1:7" s="240" customFormat="1" thickBot="1">
      <c r="A11" s="236" t="s">
        <v>255</v>
      </c>
      <c r="B11" s="237" t="s">
        <v>495</v>
      </c>
      <c r="C11" s="238">
        <f>SUM(C6:C10)</f>
        <v>0</v>
      </c>
      <c r="D11" s="238">
        <f>SUM(D6:D10)</f>
        <v>4649725</v>
      </c>
      <c r="E11" s="238">
        <f>SUM(E6:E10)</f>
        <v>7068444</v>
      </c>
      <c r="F11" s="239">
        <f>SUM(F6:F10)</f>
        <v>11718169</v>
      </c>
    </row>
    <row r="12" spans="1:7">
      <c r="A12" s="1827"/>
      <c r="B12" s="1827"/>
      <c r="C12" s="1827"/>
      <c r="D12" s="1827"/>
      <c r="E12" s="1827"/>
      <c r="F12" s="1827"/>
    </row>
  </sheetData>
  <sheetProtection selectLockedCells="1" selectUnlockedCells="1"/>
  <mergeCells count="8">
    <mergeCell ref="A12:F12"/>
    <mergeCell ref="A1:F1"/>
    <mergeCell ref="C2:D2"/>
    <mergeCell ref="E2:F2"/>
    <mergeCell ref="A3:A4"/>
    <mergeCell ref="B3:B4"/>
    <mergeCell ref="C3:E3"/>
    <mergeCell ref="F3:F4"/>
  </mergeCells>
  <printOptions horizontalCentered="1"/>
  <pageMargins left="0.78740157480314965" right="0.78740157480314965" top="1.3779527559055118" bottom="0.98425196850393704" header="0.78740157480314965" footer="0.78740157480314965"/>
  <pageSetup paperSize="9" scale="88" orientation="portrait" r:id="rId1"/>
  <headerFooter alignWithMargins="0">
    <oddHeader>&amp;R&amp;"Times New Roman CE,Félkövér dőlt" 3. melléklet a .../2020. (I.....)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D12"/>
  <sheetViews>
    <sheetView view="pageBreakPreview" zoomScale="125" zoomScaleNormal="100" zoomScaleSheetLayoutView="125" workbookViewId="0">
      <selection activeCell="C7" sqref="C7"/>
    </sheetView>
  </sheetViews>
  <sheetFormatPr defaultColWidth="9.140625" defaultRowHeight="15"/>
  <cols>
    <col min="1" max="1" width="4.85546875" style="241" customWidth="1"/>
    <col min="2" max="2" width="58.85546875" style="241" customWidth="1"/>
    <col min="3" max="3" width="16.7109375" style="241" customWidth="1"/>
    <col min="4" max="4" width="17.42578125" style="218" customWidth="1"/>
    <col min="5" max="16384" width="9.140625" style="218"/>
  </cols>
  <sheetData>
    <row r="1" spans="1:4" ht="33" customHeight="1">
      <c r="A1" s="1828" t="s">
        <v>815</v>
      </c>
      <c r="B1" s="1828"/>
      <c r="C1" s="1828"/>
      <c r="D1" s="1828"/>
    </row>
    <row r="2" spans="1:4" ht="15.95" customHeight="1" thickBot="1">
      <c r="A2" s="219"/>
      <c r="B2" s="219"/>
      <c r="C2" s="1888" t="s">
        <v>644</v>
      </c>
      <c r="D2" s="1888"/>
    </row>
    <row r="3" spans="1:4" ht="26.25" customHeight="1" thickBot="1">
      <c r="A3" s="242" t="s">
        <v>491</v>
      </c>
      <c r="B3" s="243" t="s">
        <v>496</v>
      </c>
      <c r="C3" s="244" t="s">
        <v>771</v>
      </c>
      <c r="D3" s="245" t="s">
        <v>772</v>
      </c>
    </row>
    <row r="4" spans="1:4" ht="15.75" thickBot="1">
      <c r="A4" s="246">
        <v>1</v>
      </c>
      <c r="B4" s="247">
        <v>2</v>
      </c>
      <c r="C4" s="248">
        <v>3</v>
      </c>
      <c r="D4" s="249">
        <v>4</v>
      </c>
    </row>
    <row r="5" spans="1:4">
      <c r="A5" s="250" t="s">
        <v>184</v>
      </c>
      <c r="B5" s="251" t="s">
        <v>497</v>
      </c>
      <c r="C5" s="252">
        <f>'1.1 Összesítő'!C30</f>
        <v>18700000</v>
      </c>
      <c r="D5" s="253"/>
    </row>
    <row r="6" spans="1:4" ht="24.75">
      <c r="A6" s="254" t="s">
        <v>198</v>
      </c>
      <c r="B6" s="255" t="s">
        <v>498</v>
      </c>
      <c r="C6" s="256">
        <f>'1.1 Összesítő'!C50</f>
        <v>9300000</v>
      </c>
      <c r="D6" s="257"/>
    </row>
    <row r="7" spans="1:4">
      <c r="A7" s="254" t="s">
        <v>212</v>
      </c>
      <c r="B7" s="258" t="s">
        <v>499</v>
      </c>
      <c r="C7" s="256"/>
      <c r="D7" s="257"/>
    </row>
    <row r="8" spans="1:4" ht="24.75">
      <c r="A8" s="254" t="s">
        <v>381</v>
      </c>
      <c r="B8" s="258" t="s">
        <v>500</v>
      </c>
      <c r="C8" s="256"/>
      <c r="D8" s="257"/>
    </row>
    <row r="9" spans="1:4">
      <c r="A9" s="259" t="s">
        <v>233</v>
      </c>
      <c r="B9" s="258" t="s">
        <v>501</v>
      </c>
      <c r="C9" s="260">
        <f>'1.1 Összesítő'!C36</f>
        <v>130000</v>
      </c>
      <c r="D9" s="257"/>
    </row>
    <row r="10" spans="1:4" ht="15.75" thickBot="1">
      <c r="A10" s="254" t="s">
        <v>255</v>
      </c>
      <c r="B10" s="261" t="s">
        <v>502</v>
      </c>
      <c r="C10" s="256"/>
      <c r="D10" s="262"/>
    </row>
    <row r="11" spans="1:4" ht="15.75" thickBot="1">
      <c r="A11" s="1837" t="s">
        <v>503</v>
      </c>
      <c r="B11" s="1838"/>
      <c r="C11" s="263">
        <f>SUM(C5:C10)</f>
        <v>28130000</v>
      </c>
      <c r="D11" s="264">
        <f>SUM(D5:D10)</f>
        <v>0</v>
      </c>
    </row>
    <row r="12" spans="1:4" ht="23.25" customHeight="1">
      <c r="A12" s="1839"/>
      <c r="B12" s="1839"/>
      <c r="C12" s="1839"/>
    </row>
  </sheetData>
  <sheetProtection selectLockedCells="1" selectUnlockedCells="1"/>
  <mergeCells count="4">
    <mergeCell ref="A1:D1"/>
    <mergeCell ref="C2:D2"/>
    <mergeCell ref="A11:B11"/>
    <mergeCell ref="A12:C12"/>
  </mergeCells>
  <printOptions horizontalCentered="1"/>
  <pageMargins left="0.78740157480314965" right="0.78740157480314965" top="1.3779527559055118" bottom="0.98425196850393704" header="0.78740157480314965" footer="0.78740157480314965"/>
  <pageSetup paperSize="9" scale="95" orientation="landscape" r:id="rId1"/>
  <headerFooter alignWithMargins="0">
    <oddHeader>&amp;R&amp;"Times New Roman CE,Félkövér dőlt" 4. melléklet a .../2020. (I.......) önkormányzati rendelethez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929533E32B3FA48B9E4288E45E9751E" ma:contentTypeVersion="0" ma:contentTypeDescription="Új dokumentum létrehozása." ma:contentTypeScope="" ma:versionID="2600503788ad16db613490f8661386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272c3706e31d85aa278778a1025862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9DF82B-D6B5-403B-B495-8E18205D0CB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407194-289E-42DC-A6E6-E4166A0AE003}">
  <ds:schemaRefs>
    <ds:schemaRef ds:uri="http://schemas.microsoft.com/office/2006/metadata/properties"/>
    <ds:schemaRef ds:uri="http://www.w3.org/2000/xmlns/"/>
  </ds:schemaRefs>
</ds:datastoreItem>
</file>

<file path=customXml/itemProps3.xml><?xml version="1.0" encoding="utf-8"?>
<ds:datastoreItem xmlns:ds="http://schemas.openxmlformats.org/officeDocument/2006/customXml" ds:itemID="{934D0779-7938-46CF-89A5-060F7BD0F0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26</vt:i4>
      </vt:variant>
    </vt:vector>
  </HeadingPairs>
  <TitlesOfParts>
    <vt:vector size="49" baseType="lpstr">
      <vt:lpstr>Önkormányzat</vt:lpstr>
      <vt:lpstr>Óvoda</vt:lpstr>
      <vt:lpstr>1.1 Összesítő</vt:lpstr>
      <vt:lpstr>1.1.1 Kötelező feladatok</vt:lpstr>
      <vt:lpstr>1.1.2 Önként váll feladatok</vt:lpstr>
      <vt:lpstr>2.1 Működési mérleg</vt:lpstr>
      <vt:lpstr>2.2 Felhalmozási mérleg  </vt:lpstr>
      <vt:lpstr>3. Adósság   </vt:lpstr>
      <vt:lpstr>4. Saját bevétel</vt:lpstr>
      <vt:lpstr>5. Beruhzások </vt:lpstr>
      <vt:lpstr>6. Felújítások</vt:lpstr>
      <vt:lpstr>7.1 Önkormányzat</vt:lpstr>
      <vt:lpstr>7.1.1 Önkormányzat (KÖT)</vt:lpstr>
      <vt:lpstr>7.1.2 Önkormányzat (ÖNK)</vt:lpstr>
      <vt:lpstr>7.2 Óvoda</vt:lpstr>
      <vt:lpstr>7.2.1. Óvoda (KÖT)</vt:lpstr>
      <vt:lpstr>8. Tartalék</vt:lpstr>
      <vt:lpstr>9. Tartozás állomány</vt:lpstr>
      <vt:lpstr>10. Előirányzat felhasználás</vt:lpstr>
      <vt:lpstr>1.sz tájékoztató t.</vt:lpstr>
      <vt:lpstr>2.sz. tájékoztató t.</vt:lpstr>
      <vt:lpstr>3. sz tájékoztató t</vt:lpstr>
      <vt:lpstr>4. sz tájékoztató t.</vt:lpstr>
      <vt:lpstr>'1.1 Összesítő'!Nyomtatási_cím</vt:lpstr>
      <vt:lpstr>'1.1.1 Kötelező feladatok'!Nyomtatási_cím</vt:lpstr>
      <vt:lpstr>'1.1.2 Önként váll feladatok'!Nyomtatási_cím</vt:lpstr>
      <vt:lpstr>'7.1 Önkormányzat'!Nyomtatási_cím</vt:lpstr>
      <vt:lpstr>'7.1.1 Önkormányzat (KÖT)'!Nyomtatási_cím</vt:lpstr>
      <vt:lpstr>'7.1.2 Önkormányzat (ÖNK)'!Nyomtatási_cím</vt:lpstr>
      <vt:lpstr>'7.2 Óvoda'!Nyomtatási_cím</vt:lpstr>
      <vt:lpstr>'7.2.1. Óvoda (KÖT)'!Nyomtatási_cím</vt:lpstr>
      <vt:lpstr>'1.1 Összesítő'!Nyomtatási_terület</vt:lpstr>
      <vt:lpstr>'1.1.1 Kötelező feladatok'!Nyomtatási_terület</vt:lpstr>
      <vt:lpstr>'1.1.2 Önként váll feladatok'!Nyomtatási_terület</vt:lpstr>
      <vt:lpstr>'1.sz tájékoztató t.'!Nyomtatási_terület</vt:lpstr>
      <vt:lpstr>'10. Előirányzat felhasználás'!Nyomtatási_terület</vt:lpstr>
      <vt:lpstr>'2.1 Működési mérleg'!Nyomtatási_terület</vt:lpstr>
      <vt:lpstr>'2.2 Felhalmozási mérleg  '!Nyomtatási_terület</vt:lpstr>
      <vt:lpstr>'2.sz. tájékoztató t.'!Nyomtatási_terület</vt:lpstr>
      <vt:lpstr>'3. Adósság   '!Nyomtatási_terület</vt:lpstr>
      <vt:lpstr>'4. Saját bevétel'!Nyomtatási_terület</vt:lpstr>
      <vt:lpstr>'5. Beruhzások '!Nyomtatási_terület</vt:lpstr>
      <vt:lpstr>'7.1 Önkormányzat'!Nyomtatási_terület</vt:lpstr>
      <vt:lpstr>'7.1.1 Önkormányzat (KÖT)'!Nyomtatási_terület</vt:lpstr>
      <vt:lpstr>'7.1.2 Önkormányzat (ÖNK)'!Nyomtatási_terület</vt:lpstr>
      <vt:lpstr>'7.2 Óvoda'!Nyomtatási_terület</vt:lpstr>
      <vt:lpstr>'7.2.1. Óvoda (KÖT)'!Nyomtatási_terület</vt:lpstr>
      <vt:lpstr>'8. Tartalék'!Nyomtatási_terület</vt:lpstr>
      <vt:lpstr>Önkormányzat!Nyomtatási_terület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koz_muv2</dc:creator>
  <cp:lastModifiedBy>ANI_VALI</cp:lastModifiedBy>
  <cp:lastPrinted>2020-02-26T05:33:50Z</cp:lastPrinted>
  <dcterms:created xsi:type="dcterms:W3CDTF">2014-11-26T12:36:16Z</dcterms:created>
  <dcterms:modified xsi:type="dcterms:W3CDTF">2020-02-26T05:47:40Z</dcterms:modified>
</cp:coreProperties>
</file>